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Website\Bunpod_Eport_New\assets\tmp\08CreativeWorks\"/>
    </mc:Choice>
  </mc:AlternateContent>
  <xr:revisionPtr revIDLastSave="0" documentId="13_ncr:1_{22A6E526-F82C-44E6-9C12-4899B84DE1F1}" xr6:coauthVersionLast="45" xr6:coauthVersionMax="45" xr10:uidLastSave="{00000000-0000-0000-0000-000000000000}"/>
  <bookViews>
    <workbookView showSheetTabs="0" xWindow="-110" yWindow="-110" windowWidth="19420" windowHeight="11020" tabRatio="687" xr2:uid="{00000000-000D-0000-FFFF-FFFF00000000}"/>
  </bookViews>
  <sheets>
    <sheet name="Menu" sheetId="11" r:id="rId1"/>
    <sheet name="DataSet" sheetId="3" r:id="rId2"/>
    <sheet name="DataAdd" sheetId="12" r:id="rId3"/>
    <sheet name="องค์ 1" sheetId="2" r:id="rId4"/>
    <sheet name="องค์ 2" sheetId="4" r:id="rId5"/>
    <sheet name="องค์ 3" sheetId="5" r:id="rId6"/>
    <sheet name="องค์ 4" sheetId="6" r:id="rId7"/>
    <sheet name="องค์ 5" sheetId="7" r:id="rId8"/>
    <sheet name="องค์ 6" sheetId="8" r:id="rId9"/>
    <sheet name="วิเคราะห์คุณภาพ" sheetId="9" r:id="rId10"/>
    <sheet name="ผลประเมินตามตัวบ่งชี้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15" i="2"/>
  <c r="F16" i="2"/>
  <c r="F15" i="2"/>
  <c r="E15" i="2" l="1"/>
  <c r="P6" i="9" s="1"/>
  <c r="B6" i="2"/>
  <c r="B5" i="2"/>
  <c r="B4" i="2"/>
  <c r="B3" i="9" l="1"/>
  <c r="B2" i="9"/>
  <c r="B3" i="10"/>
  <c r="B2" i="10"/>
  <c r="C19" i="10" l="1"/>
  <c r="C9" i="10"/>
  <c r="J20" i="4"/>
  <c r="J17" i="4"/>
  <c r="J11" i="4" l="1"/>
  <c r="H5" i="4" l="1"/>
  <c r="D11" i="4"/>
  <c r="C10" i="4"/>
  <c r="I11" i="4"/>
  <c r="I10" i="4"/>
  <c r="K11" i="4"/>
  <c r="K12" i="4"/>
  <c r="K9" i="4"/>
  <c r="K8" i="4"/>
  <c r="I12" i="4"/>
  <c r="I9" i="4"/>
  <c r="I8" i="4"/>
  <c r="C12" i="4"/>
  <c r="C9" i="4"/>
  <c r="C8" i="4"/>
  <c r="K10" i="4"/>
  <c r="P8" i="4"/>
  <c r="B6" i="4" l="1"/>
  <c r="M17" i="4"/>
  <c r="M18" i="4" s="1"/>
  <c r="T5" i="3" s="1"/>
  <c r="M20" i="4"/>
  <c r="M21" i="4" s="1"/>
  <c r="T6" i="3" s="1"/>
  <c r="L10" i="7"/>
  <c r="L11" i="7" s="1"/>
  <c r="K7" i="4"/>
  <c r="B19" i="4"/>
  <c r="K20" i="4"/>
  <c r="I20" i="4"/>
  <c r="C21" i="4"/>
  <c r="C20" i="4"/>
  <c r="K17" i="4"/>
  <c r="I17" i="4"/>
  <c r="C18" i="4"/>
  <c r="C17" i="4"/>
  <c r="B16" i="4"/>
  <c r="K15" i="4"/>
  <c r="K14" i="4"/>
  <c r="K13" i="4"/>
  <c r="I15" i="4"/>
  <c r="I14" i="4"/>
  <c r="I13" i="4"/>
  <c r="I7" i="4"/>
  <c r="C15" i="4"/>
  <c r="C14" i="4"/>
  <c r="C13" i="4"/>
  <c r="C7" i="4"/>
  <c r="M3" i="4"/>
  <c r="M7" i="4" s="1"/>
  <c r="L3" i="4"/>
  <c r="L5" i="4" s="1"/>
  <c r="D8" i="10" s="1"/>
  <c r="J4" i="8"/>
  <c r="D27" i="10" s="1"/>
  <c r="J8" i="7"/>
  <c r="J6" i="7"/>
  <c r="J4" i="7"/>
  <c r="D22" i="10" s="1"/>
  <c r="C9" i="6"/>
  <c r="F9" i="6"/>
  <c r="I4" i="3"/>
  <c r="J4" i="6"/>
  <c r="J11" i="6"/>
  <c r="L12" i="7" l="1"/>
  <c r="D25" i="10" s="1"/>
  <c r="T16" i="3"/>
  <c r="D24" i="10"/>
  <c r="T15" i="3"/>
  <c r="D23" i="10"/>
  <c r="T13" i="3"/>
  <c r="D20" i="10"/>
  <c r="T10" i="3"/>
  <c r="D15" i="10"/>
  <c r="T18" i="3"/>
  <c r="D11" i="9" s="1"/>
  <c r="N11" i="9"/>
  <c r="O11" i="9" s="1"/>
  <c r="T14" i="3"/>
  <c r="D19" i="9"/>
  <c r="C19" i="9" s="1"/>
  <c r="D18" i="9"/>
  <c r="C18" i="9" s="1"/>
  <c r="T3" i="3"/>
  <c r="M8" i="4"/>
  <c r="G25" i="3"/>
  <c r="G24" i="3"/>
  <c r="G23" i="3"/>
  <c r="J8" i="5"/>
  <c r="J6" i="5"/>
  <c r="T17" i="3" l="1"/>
  <c r="I12" i="9" s="1"/>
  <c r="N10" i="9"/>
  <c r="O10" i="9" s="1"/>
  <c r="D17" i="9"/>
  <c r="C17" i="9" s="1"/>
  <c r="N7" i="9" s="1"/>
  <c r="O7" i="9" s="1"/>
  <c r="D9" i="10"/>
  <c r="T9" i="3"/>
  <c r="D13" i="10"/>
  <c r="T8" i="3"/>
  <c r="D8" i="9" s="1"/>
  <c r="D12" i="10"/>
  <c r="U14" i="3"/>
  <c r="E10" i="9" s="1"/>
  <c r="U18" i="3"/>
  <c r="I11" i="9" s="1"/>
  <c r="U6" i="3"/>
  <c r="U5" i="3"/>
  <c r="T4" i="3"/>
  <c r="D7" i="9" s="1"/>
  <c r="L7" i="6"/>
  <c r="O7" i="6" s="1"/>
  <c r="N6" i="6"/>
  <c r="L6" i="6"/>
  <c r="K8" i="6"/>
  <c r="N7" i="6"/>
  <c r="Q7" i="6" s="1"/>
  <c r="M6" i="6"/>
  <c r="K10" i="6"/>
  <c r="M7" i="6"/>
  <c r="P7" i="6" s="1"/>
  <c r="L13" i="9" l="1"/>
  <c r="L14" i="9" s="1"/>
  <c r="D10" i="9"/>
  <c r="U17" i="3"/>
  <c r="I10" i="9" s="1"/>
  <c r="I13" i="9"/>
  <c r="I14" i="9" s="1"/>
  <c r="L12" i="9"/>
  <c r="U4" i="3"/>
  <c r="L7" i="9" s="1"/>
  <c r="J7" i="6"/>
  <c r="D17" i="10" s="1"/>
  <c r="L8" i="6"/>
  <c r="O8" i="6" s="1"/>
  <c r="M8" i="6"/>
  <c r="P8" i="6" s="1"/>
  <c r="N8" i="6"/>
  <c r="Q8" i="6" s="1"/>
  <c r="L10" i="6"/>
  <c r="O10" i="6" s="1"/>
  <c r="N10" i="6"/>
  <c r="Q10" i="6" s="1"/>
  <c r="M10" i="6"/>
  <c r="P10" i="6" s="1"/>
  <c r="Q6" i="6"/>
  <c r="P6" i="6"/>
  <c r="O6" i="6"/>
  <c r="C7" i="2"/>
  <c r="C8" i="2"/>
  <c r="C9" i="2"/>
  <c r="C10" i="2"/>
  <c r="C11" i="2"/>
  <c r="C12" i="2"/>
  <c r="J8" i="6" l="1"/>
  <c r="D18" i="10" s="1"/>
  <c r="J6" i="6"/>
  <c r="J9" i="6"/>
  <c r="D19" i="10" s="1"/>
  <c r="E16" i="2"/>
  <c r="G16" i="2" s="1"/>
  <c r="G15" i="2"/>
  <c r="B13" i="2"/>
  <c r="B12" i="2"/>
  <c r="B11" i="2"/>
  <c r="B10" i="2"/>
  <c r="B9" i="2"/>
  <c r="B8" i="2"/>
  <c r="B7" i="2"/>
  <c r="B3" i="2"/>
  <c r="K6" i="6" l="1"/>
  <c r="D16" i="10"/>
  <c r="K7" i="6"/>
  <c r="T11" i="3" l="1"/>
  <c r="D9" i="9" s="1"/>
  <c r="N9" i="9"/>
  <c r="O9" i="9" s="1"/>
  <c r="P7" i="9"/>
  <c r="D6" i="10"/>
  <c r="T12" i="3"/>
  <c r="P8" i="9"/>
  <c r="U11" i="3" l="1"/>
  <c r="E9" i="9" s="1"/>
  <c r="U12" i="3"/>
  <c r="J4" i="5"/>
  <c r="N18" i="9" l="1"/>
  <c r="N19" i="9"/>
  <c r="D11" i="10"/>
  <c r="P17" i="9"/>
  <c r="P19" i="9"/>
  <c r="N8" i="9"/>
  <c r="O8" i="9" s="1"/>
  <c r="T7" i="3"/>
  <c r="E13" i="9"/>
  <c r="E14" i="9" s="1"/>
  <c r="N17" i="9"/>
  <c r="P18" i="9"/>
  <c r="Q18" i="9" l="1"/>
  <c r="Q19" i="9"/>
  <c r="Q17" i="9"/>
  <c r="X3" i="3"/>
  <c r="Y3" i="3"/>
  <c r="Y4" i="3"/>
  <c r="D12" i="9"/>
  <c r="W3" i="3"/>
  <c r="X4" i="3"/>
  <c r="U9" i="3"/>
  <c r="E8" i="9" s="1"/>
  <c r="W4" i="3"/>
  <c r="E12" i="9"/>
  <c r="O12" i="9" l="1"/>
  <c r="O13" i="9"/>
  <c r="N13" i="9" l="1"/>
  <c r="P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ChunWujin</author>
  </authors>
  <commentList>
    <comment ref="L11" authorId="0" shapeId="0" xr:uid="{AA3E9C45-2627-4C14-8420-3149DDD4693F}">
      <text>
        <r>
          <rPr>
            <sz val="16"/>
            <color indexed="81"/>
            <rFont val="TH SarabunPSK"/>
            <family val="2"/>
          </rPr>
          <t>ผศ.ดร.บรรพต พิจิตรกำเนิด
มหาวิทยาลัยสวนดุสิต</t>
        </r>
      </text>
    </comment>
  </commentList>
</comments>
</file>

<file path=xl/sharedStrings.xml><?xml version="1.0" encoding="utf-8"?>
<sst xmlns="http://schemas.openxmlformats.org/spreadsheetml/2006/main" count="260" uniqueCount="215">
  <si>
    <t>ตารางการวิเคราะห์คุณภาพการศึกษาภายในระดับหลักสูตร</t>
  </si>
  <si>
    <t>องค์ประกอบที่</t>
  </si>
  <si>
    <t>จำนวนตัวบ่งชี้</t>
  </si>
  <si>
    <t>Input</t>
  </si>
  <si>
    <t>Process</t>
  </si>
  <si>
    <t>Output</t>
  </si>
  <si>
    <t>คะแนนเฉลี่ย</t>
  </si>
  <si>
    <t>ผลการประเมิน</t>
  </si>
  <si>
    <t>คะแนนเฉลี่ยของทุกตัวบ่งชี้ในองค์ประกอบที่ 2-6</t>
  </si>
  <si>
    <t>หลักสูตร</t>
  </si>
  <si>
    <t>สาขาวิชา</t>
  </si>
  <si>
    <t>ระดับปริญญา</t>
  </si>
  <si>
    <t>ประเด็น</t>
  </si>
  <si>
    <t>ปริญญาตรี</t>
  </si>
  <si>
    <t>ปริญญาโท</t>
  </si>
  <si>
    <t>ปริญญาเอก</t>
  </si>
  <si>
    <t>ศิลปศาสตรบัณฑิต</t>
  </si>
  <si>
    <t>วิทยาศาสตรบัณฑิต</t>
  </si>
  <si>
    <t xml:space="preserve">ปีการศึกษาที่ประเมิน  </t>
  </si>
  <si>
    <t>ผลการดำเนินงาน</t>
  </si>
  <si>
    <t>วันที่ประเมิน</t>
  </si>
  <si>
    <t>ประธานตรวจประเมิน</t>
  </si>
  <si>
    <t>กรรมการ 2</t>
  </si>
  <si>
    <t>กรรมการ 1</t>
  </si>
  <si>
    <t>เลขานุการ</t>
  </si>
  <si>
    <t>องค์ประกอบที่ 1 การกำกับมาตรฐาน</t>
  </si>
  <si>
    <t>1) จำนวนอาจารย์ประจำหลักสูตร</t>
  </si>
  <si>
    <t>สัญลักษณ์</t>
  </si>
  <si>
    <t>มี</t>
  </si>
  <si>
    <t>ไม่มี</t>
  </si>
  <si>
    <t>ตัวบ่งชี้ 1.1 การบริหารจัดการหลักสูตรตามเกณฑ์มาตรฐานหลักสูตรที่กำหนดโดย สกอ.</t>
  </si>
  <si>
    <t>เงื่อนไข</t>
  </si>
  <si>
    <t>ป.ตรี</t>
  </si>
  <si>
    <t>ป.โท/เอก</t>
  </si>
  <si>
    <t>ผ่าน</t>
  </si>
  <si>
    <t>ไม่ผ่าน</t>
  </si>
  <si>
    <t>11) การปรับปรุงหลักสูตรตามรอบระยะเวลาที่กำหนด</t>
  </si>
  <si>
    <t>10) อาจารย์ที่ปรึกษาวิทยานิพนธ์และการค้นคว้าอิสระในระดับบัณฑิตมีผลงานวิจัยอย่างต่อเนื่องและสม่ำเสมอ</t>
  </si>
  <si>
    <t>9) ภาระงานอาจารย์ที่ปรึกษาวิทยานิพนธ์และการค้นคว้าอิสระนะระดับบัณฑิตศึกษา</t>
  </si>
  <si>
    <t>8) การตีพิมพ์เผยแพร่ผลงานของผู้สำเร็จการศึกษา</t>
  </si>
  <si>
    <t>7) คุณสมบัติของอาจารย์ผู้สอบวิทยานิพนธ์</t>
  </si>
  <si>
    <t>6) คุณสมบัติของอาจารย์ที่ปรึกษาวิทยานิพนธ์ร่วม (ถ้ามี)</t>
  </si>
  <si>
    <t>5) คุณสมบัติของอาจารย์ที่ปรึกษาวิทยานิพนธ์หลักและอาจารย์ที่ปรึกษาการค้นคว้าอิสระ</t>
  </si>
  <si>
    <t>4) คุณสมบัติของอาจารย์ผู้สอน</t>
  </si>
  <si>
    <t>3) คุณสมบัติของอาจารย์ผู้รับผิดชอบหลักสูตร</t>
  </si>
  <si>
    <t>2) คุณสมบัติของอาจารย์ประจำหลักสูตร</t>
  </si>
  <si>
    <t>องค์ประกอบที่ 2 บัณฑิต</t>
  </si>
  <si>
    <t>ตัวบ่งชี้ 2.1 คุณภาพบัณฑิตตามกรอบมาตรฐานคุณวุฒิระดับอุดมศึกษาแห่งชาติ</t>
  </si>
  <si>
    <t>องค์ประกอบที่ 3 นักศึกษา</t>
  </si>
  <si>
    <t>ผลการดำเนินงานตามเกณฑ์</t>
  </si>
  <si>
    <t>ตัวบ่งชี้ 3.1 การรับนักศึกษา</t>
  </si>
  <si>
    <t>เกณฑ์ระดับที่</t>
  </si>
  <si>
    <t>ตัวบ่งชี้ 3.2 การส่งเสริมและการพัฒนานักศึกษา</t>
  </si>
  <si>
    <t>ตัวบ่งชี้ 3.3 ผลที่เกิดกับนักศึกษา</t>
  </si>
  <si>
    <t>องค์ประกอบที่ 4 อาจารย์</t>
  </si>
  <si>
    <t>ตัวบ่งชี้ 4.1 การบริหารและพัฒนาอาจารย์</t>
  </si>
  <si>
    <t>ตัวบ่งชี้ 4.2 คุณภาพอาจารย์</t>
  </si>
  <si>
    <t>ตัวบ่งชี้ 4.3 ผลที่เกิดกับอาจารย์</t>
  </si>
  <si>
    <t>4.2 (1) อาจารย์ประจำหลักสูตรที่มีคุณวุฒิปริญญาเอก</t>
  </si>
  <si>
    <t>อาจารย์ 1</t>
  </si>
  <si>
    <t>สถานะ</t>
  </si>
  <si>
    <t>สถานะอาจารย์</t>
  </si>
  <si>
    <t>ผู้รับผิดชอบหลักสูตร</t>
  </si>
  <si>
    <t>อาจารย์ประจำหลักสูตร</t>
  </si>
  <si>
    <t>อาจารย์ผู้สอน</t>
  </si>
  <si>
    <t>จำนวน</t>
  </si>
  <si>
    <t>4.2 (2) อาจารย์ประจำหลักสูตรที่ดำรงตำแหน่งทางวิชาการ</t>
  </si>
  <si>
    <t>ร้อยละ</t>
  </si>
  <si>
    <t>ป.โท</t>
  </si>
  <si>
    <t>ป.เอก</t>
  </si>
  <si>
    <t>ร้อยละของอาจารย์</t>
  </si>
  <si>
    <t>แปลงค่าร้อยละ</t>
  </si>
  <si>
    <t>กลุ่มสาขาวิชา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</si>
  <si>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</si>
  <si>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</si>
  <si>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</si>
  <si>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มนุษย์</t>
  </si>
  <si>
    <t>วิทย์สุข</t>
  </si>
  <si>
    <t>วิทย์เทค</t>
  </si>
  <si>
    <t>ผลรวมถ่วง นน.</t>
  </si>
  <si>
    <t>จำนวนชิ้นผลงาน</t>
  </si>
  <si>
    <t>4.2 (3) ผลงานทางวิชาการอาจารย์ประจำหลักสูตร</t>
  </si>
  <si>
    <t>องค์ประกอบที่ 5 หลักสูตร การเรียนการสอน การประเมินผู้เรียน</t>
  </si>
  <si>
    <t>ตัวบ่งชี้ 5.1 สาระของรายวิชาในหลักสูตร</t>
  </si>
  <si>
    <t>ตัวบ่งชี้ 5.2 การวางระบบผู้สอนและกระบวนการจัดการเรียนการสอน</t>
  </si>
  <si>
    <t>ตัวบ่งชี้ 5.3 การประเมินผู้เรียน</t>
  </si>
  <si>
    <t>ตัวบ่งชี้ 5.4 ผลการดำเนินงานของหลักสูตรตามกรอบมาตรฐานคุณวุฒิระดับอุดมศึกษาแห่งชาติ</t>
  </si>
  <si>
    <t>องค์ประกอบที่ 6 สิ่งสนับสนุนการเรียนรู้</t>
  </si>
  <si>
    <t>ตัวบ่งชี้ 6.1 สิ่งสนับสนุนการเรียนรู้</t>
  </si>
  <si>
    <t>รวมตัวบ่งชี้</t>
  </si>
  <si>
    <t>ผลรวมของค่าคะแนนที่ได้จากการประเมินบัณฑิต</t>
  </si>
  <si>
    <t>คน</t>
  </si>
  <si>
    <t>จำนวนบัณฑิตที่สำเร็จการศึกษา</t>
  </si>
  <si>
    <t>เทียบ 5 คะแนน</t>
  </si>
  <si>
    <t>องค์ 2 ป.ตรี</t>
  </si>
  <si>
    <t>องค์ 2 ป.โท</t>
  </si>
  <si>
    <t>องค์ 2 ป.เอก</t>
  </si>
  <si>
    <t xml:space="preserve"> </t>
  </si>
  <si>
    <t>ศึกษาศาสตบัณฑิต</t>
  </si>
  <si>
    <t>รัฐศาสตรบัณฑิต</t>
  </si>
  <si>
    <t>นิติศาสตรบัณฑิต</t>
  </si>
  <si>
    <t>ภาษาจีน</t>
  </si>
  <si>
    <t>ภาษาไทย</t>
  </si>
  <si>
    <t>ภาษาอังกฤษ</t>
  </si>
  <si>
    <t>ภาษาอังกฤษธุรกิจ</t>
  </si>
  <si>
    <t>รัฐประศาสนศาสตร์</t>
  </si>
  <si>
    <t>นิติศาสตร์</t>
  </si>
  <si>
    <t>บรรณารักษศาสตร์และสารสนเทศศาสตร์</t>
  </si>
  <si>
    <t>จิตวิทยาอุตสาหกรรมและองค์การ</t>
  </si>
  <si>
    <t>ศิลปศึกษา</t>
  </si>
  <si>
    <t>รัฐศาสตร์</t>
  </si>
  <si>
    <t>คณิตศาสตร์</t>
  </si>
  <si>
    <t>ฟิสิกส์</t>
  </si>
  <si>
    <t>เทคโนโลยีเคมี</t>
  </si>
  <si>
    <t>เทคโนโลยีสารสนเทศ</t>
  </si>
  <si>
    <t>วิทยาการคอมพิวเตอร์</t>
  </si>
  <si>
    <t>วิทยาศาสตร์เครื่องสำอาง</t>
  </si>
  <si>
    <t>อาชีวอนามัยและความปลอดภัย</t>
  </si>
  <si>
    <t>สิ่งแวดล้อมเมืองและอุตสาหกรรม</t>
  </si>
  <si>
    <t>คหกรรมศาสตร์</t>
  </si>
  <si>
    <t>เทคโนโลยีการแปรรูปอาหาร</t>
  </si>
  <si>
    <t>โภชนาการและการประกอบอาหาร</t>
  </si>
  <si>
    <t>เทคโนโลยีการประกอบอาหารและการบริการ</t>
  </si>
  <si>
    <t>ธุรกิจการบิน</t>
  </si>
  <si>
    <t>การท่องเที่ยว</t>
  </si>
  <si>
    <t>ธุรกิจการโรงแรม</t>
  </si>
  <si>
    <t>Hospitality Management (EP)</t>
  </si>
  <si>
    <t>ออกแบบนิทรรศการและการจัดแสดง</t>
  </si>
  <si>
    <t>พยาบาลศาสตรบัณฑิต</t>
  </si>
  <si>
    <t>พยาบาลศาสตร์</t>
  </si>
  <si>
    <t>บัญชีบัณฑิต</t>
  </si>
  <si>
    <t>นิเทศศาสตรบัณฑิต</t>
  </si>
  <si>
    <t>บริหารธุรกิจบัณฑิต</t>
  </si>
  <si>
    <t>การเงิน</t>
  </si>
  <si>
    <t>การตลาด</t>
  </si>
  <si>
    <t>การจัดการ</t>
  </si>
  <si>
    <t>การบริการลูกค้า</t>
  </si>
  <si>
    <t>คอมพิวเตอร์ธุรกิจ</t>
  </si>
  <si>
    <t>ธุรกิจระหว่างประเทศ</t>
  </si>
  <si>
    <t>การจัดการธุรกิจค้าปลีก</t>
  </si>
  <si>
    <t>เลขานุการทางการแพทย์</t>
  </si>
  <si>
    <t>การจัดการทรัพยากรมนุษย์</t>
  </si>
  <si>
    <t>การศึกษาปฐมวัย</t>
  </si>
  <si>
    <t>การประถมศึกษา</t>
  </si>
  <si>
    <t xml:space="preserve">การจัดการเรียนการสอนด้วยหลักสูตรนี้เป็นปีที่ </t>
  </si>
  <si>
    <t>ปีที่</t>
  </si>
  <si>
    <t>การดำเนินการตามตัวบ่งชี้</t>
  </si>
  <si>
    <t>ตัวบ่งชี้</t>
  </si>
  <si>
    <t>จำนวนตัวบ่งชี้ที่ระบุไว้ใน มคอ.2 สำหรับปีการศึกษานี้</t>
  </si>
  <si>
    <t>4) จัดทำ มคอ.5 และ มคอ.6 (ถ้ามี) ภายใน 30 วัน ...</t>
  </si>
  <si>
    <t>5) จัดทำ มคอ.7 ภายใน 60วัน หลังสิ้นสุดปีการศึกษา</t>
  </si>
  <si>
    <t>6) มีการทวนสอบผลสัมฤทธิ์ของนักศึกษา อย่างน้อยร้อยละ 25 ...</t>
  </si>
  <si>
    <t>7) มีการปรับปรุงการจัดการเรียนการสอน จากผลการประเมินปีที่แล้ว ..</t>
  </si>
  <si>
    <t>8) อาจารย์ใหม่ (ถ้ามี) ทุกคน ได้รับการปฐมนิเทศหรือคำแนะนำ</t>
  </si>
  <si>
    <t>9) อาจารย์ประจำหลักสูตรทุกคนได้รับการพัฒนาทางวิชาการ ปีละ 1ครั้ง</t>
  </si>
  <si>
    <t xml:space="preserve">10) บุคลากรสนับสนุนการเรียนการสอน (ถ้ามี) ได้รับการพัฒนาวิชาการ </t>
  </si>
  <si>
    <t>11) ระดับความพึงพอใจของนักศึกษาปีสุดท้าย/บัณฑิตใหม่ ไม่น้อยกว่า 3.5</t>
  </si>
  <si>
    <t xml:space="preserve">13) </t>
  </si>
  <si>
    <t xml:space="preserve">14) </t>
  </si>
  <si>
    <t xml:space="preserve">15) </t>
  </si>
  <si>
    <t>ดำเนินการ</t>
  </si>
  <si>
    <t xml:space="preserve">12) ระดับความพึงพอใจของผู้ใช้บัณฑิตที่มีต่อบัณฑิตใหม่ ไม่น้อยกว่า 3.5 </t>
  </si>
  <si>
    <t>ร้อยละการดำเนินการ</t>
  </si>
  <si>
    <t>มี นศ. จบ</t>
  </si>
  <si>
    <t>ไม่มี นศ. จบ</t>
  </si>
  <si>
    <t>ค่าเฉลี่ยแนวนอน</t>
  </si>
  <si>
    <t>เฉลี่ยรวม</t>
  </si>
  <si>
    <t xml:space="preserve">จำนวนบัณฑิตที่รับการประเมิน </t>
  </si>
  <si>
    <t>คิดเป็นร้อยละ</t>
  </si>
  <si>
    <t>ผลคะแนน</t>
  </si>
  <si>
    <t>องค์</t>
  </si>
  <si>
    <t>คะแนน</t>
  </si>
  <si>
    <t>2.2 (ป.ตรี)</t>
  </si>
  <si>
    <t>2.2 (ป.โท)</t>
  </si>
  <si>
    <t>2.2 (ป.เอก)</t>
  </si>
  <si>
    <t>4.2 (ป.ตรีโท)</t>
  </si>
  <si>
    <t>4.2 (ป.เอก)</t>
  </si>
  <si>
    <t>เฉลี่ย</t>
  </si>
  <si>
    <t>ปตรี</t>
  </si>
  <si>
    <t>ปโท</t>
  </si>
  <si>
    <t>ปเอก</t>
  </si>
  <si>
    <t>มีบัณฑิต</t>
  </si>
  <si>
    <t>ไม่มีบัณฑิต</t>
  </si>
  <si>
    <t>ผลการประเมินตามตัวบ่งชี้</t>
  </si>
  <si>
    <t>หมายเหตุ</t>
  </si>
  <si>
    <t>1. การกำกับมาตรฐาน</t>
  </si>
  <si>
    <t>1.1 การบริหารจัดการหลักสูตรตามเกณฑ์มาตรฐานหลักสูตร</t>
  </si>
  <si>
    <t>2. บัณฑิต</t>
  </si>
  <si>
    <t>2.1 คุณภาพบัณฑิตตามกรอบมาตรฐานคุณวุฒิระดับอุดมศึกษาแห่งชาติ</t>
  </si>
  <si>
    <t>3. นักศึกษา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</si>
  <si>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</si>
  <si>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</si>
  <si>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</si>
  <si>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 อาจารย์</t>
  </si>
  <si>
    <t>4.1 การบริหารและพัฒนาอาจารย์</t>
  </si>
  <si>
    <t>4.2 คุณภาพอาจารย์ - ร้อยละของอาจารย์ประจำหลักสูตรที่มีคุณวุฒิปริญญาเอก</t>
  </si>
  <si>
    <t>4.2 คุณภาพอาจารย์ - ร้อยละของอาจารย์ประจำหลักสูตรที่ดำรงตำแหน่งทางวิชาการ</t>
  </si>
  <si>
    <t>4.2 คุณภาพอาจารย์ - ผลงานทางวิชาการของอาจารย์ประจำหลักสูตร</t>
  </si>
  <si>
    <t>4.3 ผลที่เกิดกับอาจารย์</t>
  </si>
  <si>
    <t>5. หลักสูตร การเรียนการสอน การประเมินผู้เรียน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</si>
  <si>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</si>
  <si>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</si>
  <si>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</si>
  <si>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</si>
  <si>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 สิ่งสนับสนุนการเรียนรู้</t>
  </si>
  <si>
    <t>6.1 สิ่งสนับสนุนการเรียนรู้</t>
  </si>
  <si>
    <t>ระดับคุณภาพ</t>
  </si>
  <si>
    <t>พัฒนาโดย :</t>
  </si>
  <si>
    <t>ต้นแบบระบบคำนวนผลการตรวจประกันคุณภาพภายใน (หลักสูตร)</t>
  </si>
  <si>
    <t>ข้อมูลพื้นฐานของหลักสูตร</t>
  </si>
  <si>
    <t>เทคโนโลยีบัณฑิต</t>
  </si>
  <si>
    <t>1) อาจารย์ประจำหลักสูตรอย่างน้อยร้อยละ 80 มีส่วนร่วมในการประชุม ...</t>
  </si>
  <si>
    <t>2) มีรายละเอียดของหลักสูตร ตามแบบ มคอ.2 ที่สอดคล้องกับ มคอ.1 ..</t>
  </si>
  <si>
    <t>3) มี มคอ.3 และ มคอ.4 (ถ้ามี) ก่อนเปิดภาคการศึกษา ...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</si>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</sst>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87041E]d\ mmmm\ yyyy;@"/>
    <numFmt numFmtId="188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0"/>
      <name val="TH SarabunPSK"/>
      <family val="2"/>
    </font>
    <font>
      <b/>
      <sz val="18"/>
      <color rgb="FF0070C0"/>
      <name val="TH SarabunPSK"/>
      <family val="2"/>
    </font>
    <font>
      <sz val="18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20"/>
      <color theme="0"/>
      <name val="TH SarabunPSK"/>
      <family val="2"/>
    </font>
    <font>
      <b/>
      <sz val="18"/>
      <color theme="0"/>
      <name val="TH SarabunPSK"/>
      <family val="2"/>
    </font>
    <font>
      <sz val="17"/>
      <color theme="0"/>
      <name val="TH SarabunPSK"/>
      <family val="2"/>
    </font>
    <font>
      <sz val="17"/>
      <color theme="1"/>
      <name val="TH SarabunPSK"/>
      <family val="2"/>
    </font>
    <font>
      <sz val="18"/>
      <name val="TH SarabunPSK"/>
      <family val="2"/>
    </font>
    <font>
      <b/>
      <sz val="26"/>
      <color theme="1"/>
      <name val="TH SarabunPSK"/>
      <family val="2"/>
    </font>
    <font>
      <sz val="17"/>
      <name val="TH SarabunPSK"/>
      <family val="2"/>
    </font>
    <font>
      <b/>
      <sz val="18"/>
      <color rgb="FF33CC33"/>
      <name val="TH SarabunPSK"/>
      <family val="2"/>
    </font>
    <font>
      <b/>
      <sz val="28"/>
      <name val="TH SarabunPSK"/>
      <family val="2"/>
    </font>
    <font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sz val="18"/>
      <color theme="0" tint="-4.9989318521683403E-2"/>
      <name val="TH SarabunPSK"/>
      <family val="2"/>
    </font>
    <font>
      <b/>
      <sz val="26"/>
      <name val="TH SarabunPSK"/>
      <family val="2"/>
    </font>
    <font>
      <sz val="48"/>
      <color theme="1"/>
      <name val="TH SarabunPSK"/>
      <family val="2"/>
    </font>
    <font>
      <sz val="16"/>
      <color theme="1"/>
      <name val="SP SUAN DUSIT"/>
    </font>
    <font>
      <b/>
      <sz val="36"/>
      <color theme="0"/>
      <name val="TH SarabunPSK"/>
      <family val="2"/>
    </font>
    <font>
      <b/>
      <sz val="20"/>
      <color rgb="FFFF0000"/>
      <name val="TH SarabunPSK"/>
      <family val="2"/>
    </font>
    <font>
      <sz val="16"/>
      <color rgb="FFFF0000"/>
      <name val="TH SarabunPSK"/>
      <family val="2"/>
    </font>
    <font>
      <b/>
      <sz val="42"/>
      <color rgb="FF0000FF"/>
      <name val="TH SarabunPSK"/>
      <family val="2"/>
    </font>
    <font>
      <sz val="16"/>
      <color indexed="81"/>
      <name val="TH SarabunPSK"/>
      <family val="2"/>
    </font>
    <font>
      <sz val="17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12" fillId="2" borderId="0" xfId="0" applyFont="1" applyFill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2" borderId="0" xfId="0" applyFont="1" applyFill="1" applyAlignment="1"/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Alignment="1"/>
    <xf numFmtId="0" fontId="14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/>
    <xf numFmtId="0" fontId="3" fillId="4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16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2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/>
    <xf numFmtId="2" fontId="7" fillId="2" borderId="0" xfId="0" applyNumberFormat="1" applyFont="1" applyFill="1" applyBorder="1" applyAlignment="1" applyProtection="1">
      <alignment horizontal="center"/>
    </xf>
    <xf numFmtId="2" fontId="7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/>
    <xf numFmtId="0" fontId="7" fillId="2" borderId="0" xfId="0" applyFont="1" applyFill="1"/>
    <xf numFmtId="2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Alignment="1" applyProtection="1"/>
    <xf numFmtId="0" fontId="7" fillId="2" borderId="0" xfId="0" applyFont="1" applyFill="1" applyProtection="1"/>
    <xf numFmtId="0" fontId="13" fillId="2" borderId="0" xfId="0" applyFont="1" applyFill="1" applyAlignment="1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0" fontId="13" fillId="2" borderId="0" xfId="0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22" fillId="2" borderId="0" xfId="0" applyFont="1" applyFill="1" applyAlignment="1"/>
    <xf numFmtId="0" fontId="23" fillId="2" borderId="0" xfId="0" applyFont="1" applyFill="1" applyAlignment="1"/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/>
    </xf>
    <xf numFmtId="2" fontId="16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Alignment="1" applyProtection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9" fontId="13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9" fontId="7" fillId="2" borderId="0" xfId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26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2" fontId="2" fillId="2" borderId="1" xfId="0" applyNumberFormat="1" applyFont="1" applyFill="1" applyBorder="1" applyAlignment="1" applyProtection="1">
      <alignment horizontal="center"/>
      <protection hidden="1"/>
    </xf>
    <xf numFmtId="188" fontId="2" fillId="2" borderId="1" xfId="0" applyNumberFormat="1" applyFont="1" applyFill="1" applyBorder="1" applyAlignment="1" applyProtection="1">
      <alignment horizontal="center"/>
      <protection hidden="1"/>
    </xf>
    <xf numFmtId="0" fontId="19" fillId="2" borderId="9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9" borderId="1" xfId="0" applyFont="1" applyFill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2" fontId="3" fillId="13" borderId="2" xfId="0" applyNumberFormat="1" applyFont="1" applyFill="1" applyBorder="1" applyAlignment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2" fontId="6" fillId="2" borderId="1" xfId="0" applyNumberFormat="1" applyFont="1" applyFill="1" applyBorder="1" applyAlignment="1" applyProtection="1">
      <alignment horizontal="center"/>
      <protection hidden="1"/>
    </xf>
    <xf numFmtId="2" fontId="24" fillId="13" borderId="1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Protection="1"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2" fontId="24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Protection="1">
      <protection hidden="1"/>
    </xf>
    <xf numFmtId="2" fontId="16" fillId="2" borderId="1" xfId="0" applyNumberFormat="1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protection hidden="1"/>
    </xf>
    <xf numFmtId="0" fontId="13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Border="1" applyProtection="1"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6" fillId="2" borderId="6" xfId="0" applyFont="1" applyFill="1" applyBorder="1" applyAlignment="1" applyProtection="1">
      <alignment horizontal="center"/>
      <protection locked="0" hidden="1"/>
    </xf>
    <xf numFmtId="0" fontId="16" fillId="2" borderId="4" xfId="0" applyFont="1" applyFill="1" applyBorder="1" applyAlignment="1" applyProtection="1">
      <alignment horizontal="center"/>
      <protection locked="0"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23" fillId="2" borderId="0" xfId="0" applyFont="1" applyFill="1" applyProtection="1">
      <protection hidden="1"/>
    </xf>
    <xf numFmtId="0" fontId="9" fillId="2" borderId="0" xfId="0" applyFont="1" applyFill="1" applyProtection="1"/>
    <xf numFmtId="0" fontId="29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29" fillId="2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2" fontId="13" fillId="13" borderId="3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/>
    </xf>
    <xf numFmtId="9" fontId="7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/>
    <xf numFmtId="0" fontId="22" fillId="2" borderId="0" xfId="0" applyFont="1" applyFill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protection hidden="1"/>
    </xf>
    <xf numFmtId="0" fontId="14" fillId="2" borderId="0" xfId="0" applyFont="1" applyFill="1" applyAlignment="1">
      <alignment horizontal="center"/>
    </xf>
    <xf numFmtId="2" fontId="7" fillId="2" borderId="0" xfId="0" applyNumberFormat="1" applyFont="1" applyFill="1" applyProtection="1"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hidden="1"/>
    </xf>
    <xf numFmtId="0" fontId="31" fillId="2" borderId="0" xfId="0" applyFont="1" applyFill="1" applyAlignment="1" applyProtection="1">
      <alignment horizontal="center"/>
      <protection hidden="1"/>
    </xf>
    <xf numFmtId="0" fontId="28" fillId="17" borderId="0" xfId="0" applyFont="1" applyFill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locked="0"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6" xfId="0" applyFont="1" applyFill="1" applyBorder="1" applyAlignment="1" applyProtection="1">
      <alignment horizontal="center"/>
      <protection locked="0" hidden="1"/>
    </xf>
    <xf numFmtId="0" fontId="13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6" fillId="2" borderId="0" xfId="0" applyFont="1" applyFill="1" applyAlignment="1" applyProtection="1">
      <alignment horizontal="center"/>
      <protection hidden="1"/>
    </xf>
    <xf numFmtId="187" fontId="10" fillId="2" borderId="6" xfId="0" applyNumberFormat="1" applyFont="1" applyFill="1" applyBorder="1" applyAlignment="1" applyProtection="1">
      <alignment horizontal="center"/>
      <protection locked="0" hidden="1"/>
    </xf>
    <xf numFmtId="0" fontId="4" fillId="7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2" fontId="7" fillId="2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9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16" fillId="2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4" fillId="10" borderId="0" xfId="0" applyFont="1" applyFill="1" applyAlignment="1" applyProtection="1">
      <alignment horizontal="center"/>
    </xf>
    <xf numFmtId="0" fontId="4" fillId="11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2" fontId="2" fillId="2" borderId="2" xfId="0" applyNumberFormat="1" applyFont="1" applyFill="1" applyBorder="1" applyAlignment="1" applyProtection="1">
      <alignment horizontal="center" wrapText="1"/>
      <protection hidden="1"/>
    </xf>
    <xf numFmtId="0" fontId="17" fillId="2" borderId="0" xfId="0" applyFont="1" applyFill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horizontal="center"/>
    </xf>
    <xf numFmtId="0" fontId="2" fillId="13" borderId="11" xfId="0" applyFont="1" applyFill="1" applyBorder="1" applyAlignment="1" applyProtection="1">
      <alignment horizontal="center"/>
      <protection hidden="1"/>
    </xf>
    <xf numFmtId="0" fontId="2" fillId="13" borderId="12" xfId="0" applyFont="1" applyFill="1" applyBorder="1" applyAlignment="1" applyProtection="1">
      <alignment horizontal="center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2" fontId="3" fillId="2" borderId="1" xfId="0" applyNumberFormat="1" applyFont="1" applyFill="1" applyBorder="1" applyAlignment="1" applyProtection="1">
      <alignment horizontal="center"/>
      <protection hidden="1"/>
    </xf>
    <xf numFmtId="0" fontId="10" fillId="12" borderId="1" xfId="0" applyFont="1" applyFill="1" applyBorder="1" applyAlignment="1" applyProtection="1">
      <alignment horizontal="left"/>
      <protection hidden="1"/>
    </xf>
    <xf numFmtId="0" fontId="10" fillId="16" borderId="1" xfId="0" applyFont="1" applyFill="1" applyBorder="1" applyAlignment="1" applyProtection="1">
      <alignment horizontal="left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left"/>
      <protection hidden="1"/>
    </xf>
    <xf numFmtId="0" fontId="10" fillId="15" borderId="1" xfId="0" applyFont="1" applyFill="1" applyBorder="1" applyAlignment="1" applyProtection="1">
      <alignment horizontal="left"/>
      <protection hidden="1"/>
    </xf>
    <xf numFmtId="0" fontId="10" fillId="14" borderId="1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 applyProtection="1">
      <protection hidden="1"/>
    </xf>
    <xf numFmtId="0" fontId="23" fillId="2" borderId="0" xfId="0" applyFont="1" applyFill="1" applyBorder="1" applyAlignment="1" applyProtection="1">
      <protection hidden="1"/>
    </xf>
    <xf numFmtId="0" fontId="22" fillId="2" borderId="6" xfId="0" applyFont="1" applyFill="1" applyBorder="1" applyAlignment="1" applyProtection="1">
      <alignment horizontal="center"/>
      <protection locked="0" hidden="1"/>
    </xf>
    <xf numFmtId="0" fontId="1" fillId="2" borderId="0" xfId="0" applyFont="1" applyFill="1"/>
    <xf numFmtId="0" fontId="1" fillId="18" borderId="0" xfId="0" applyFont="1" applyFill="1" applyAlignment="1">
      <alignment horizontal="center"/>
    </xf>
    <xf numFmtId="0" fontId="1" fillId="17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</cellXfs>
  <cellStyles count="2">
    <cellStyle name="Normal" xfId="0" builtinId="0"/>
    <cellStyle name="Percent" xfId="1" builtinId="5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</dxf>
    <dxf>
      <fill>
        <patternFill>
          <bgColor rgb="FFFF3300"/>
        </patternFill>
      </fill>
    </dxf>
    <dxf>
      <fill>
        <patternFill>
          <bgColor rgb="FFFF9966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66FF33"/>
        </patternFill>
      </fill>
    </dxf>
    <dxf>
      <font>
        <color rgb="FF33CC33"/>
      </font>
    </dxf>
    <dxf>
      <font>
        <color rgb="FF33CC33"/>
      </font>
    </dxf>
    <dxf>
      <font>
        <color rgb="FFFF0000"/>
      </font>
    </dxf>
    <dxf>
      <font>
        <color rgb="FF0070C0"/>
      </font>
      <fill>
        <patternFill>
          <bgColor rgb="FF99FF33"/>
        </patternFill>
      </fill>
    </dxf>
    <dxf>
      <font>
        <color rgb="FF0070C0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FFFF00"/>
      </font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33CC33"/>
        </patternFill>
      </fill>
    </dxf>
    <dxf>
      <fill>
        <patternFill>
          <bgColor rgb="FF72DC6A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1"/>
      </font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72DC6A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72DC6A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72DC6A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FF9999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66FF66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7C80"/>
        </patternFill>
      </fill>
    </dxf>
    <dxf>
      <font>
        <color theme="1"/>
      </font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66FF33"/>
      <color rgb="FFCCFFCC"/>
      <color rgb="FF66FF99"/>
      <color rgb="FF00CC00"/>
      <color rgb="FFCC66FF"/>
      <color rgb="FF66FF66"/>
      <color rgb="FF66FFFF"/>
      <color rgb="FFFF99FF"/>
      <color rgb="FFCC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3623;&#3636;&#3648;&#3588;&#3619;&#3634;&#3632;&#3627;&#3660;&#3588;&#3640;&#3603;&#3616;&#3634;&#3614;!A1"/><Relationship Id="rId3" Type="http://schemas.openxmlformats.org/officeDocument/2006/relationships/hyperlink" Target="#'&#3629;&#3591;&#3588;&#3660; 2'!A1"/><Relationship Id="rId7" Type="http://schemas.openxmlformats.org/officeDocument/2006/relationships/hyperlink" Target="#'&#3629;&#3591;&#3588;&#3660; 6'!A1"/><Relationship Id="rId2" Type="http://schemas.openxmlformats.org/officeDocument/2006/relationships/hyperlink" Target="#'&#3629;&#3591;&#3588;&#3660; 1'!A1"/><Relationship Id="rId1" Type="http://schemas.openxmlformats.org/officeDocument/2006/relationships/hyperlink" Target="#DataSet!A1"/><Relationship Id="rId6" Type="http://schemas.openxmlformats.org/officeDocument/2006/relationships/hyperlink" Target="#'&#3629;&#3591;&#3588;&#3660; 5'!A1"/><Relationship Id="rId5" Type="http://schemas.openxmlformats.org/officeDocument/2006/relationships/hyperlink" Target="#'&#3629;&#3591;&#3588;&#3660; 4'!A1"/><Relationship Id="rId10" Type="http://schemas.openxmlformats.org/officeDocument/2006/relationships/hyperlink" Target="#DataAdd!A1"/><Relationship Id="rId4" Type="http://schemas.openxmlformats.org/officeDocument/2006/relationships/hyperlink" Target="#'&#3629;&#3591;&#3588;&#3660; 3'!A1"/><Relationship Id="rId9" Type="http://schemas.openxmlformats.org/officeDocument/2006/relationships/hyperlink" Target="#&#3612;&#3621;&#3611;&#3619;&#3632;&#3648;&#3617;&#3636;&#3609;&#3605;&#3634;&#3617;&#3605;&#3633;&#3623;&#3610;&#3656;&#3591;&#3594;&#3637;&#365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ataAdd!A1"/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1</xdr:row>
      <xdr:rowOff>238126</xdr:rowOff>
    </xdr:from>
    <xdr:to>
      <xdr:col>5</xdr:col>
      <xdr:colOff>219074</xdr:colOff>
      <xdr:row>3</xdr:row>
      <xdr:rowOff>104776</xdr:rowOff>
    </xdr:to>
    <xdr:sp macro="" textlink="">
      <xdr:nvSpPr>
        <xdr:cNvPr id="50" name="Rounded Rectangl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28699" y="1143001"/>
          <a:ext cx="2619375" cy="476250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ข้อมูลพื้นฐานของหลักสูตร</a:t>
          </a:r>
        </a:p>
      </xdr:txBody>
    </xdr:sp>
    <xdr:clientData/>
  </xdr:twoCellAnchor>
  <xdr:twoCellAnchor>
    <xdr:from>
      <xdr:col>6</xdr:col>
      <xdr:colOff>285749</xdr:colOff>
      <xdr:row>1</xdr:row>
      <xdr:rowOff>238126</xdr:rowOff>
    </xdr:from>
    <xdr:to>
      <xdr:col>10</xdr:col>
      <xdr:colOff>161924</xdr:colOff>
      <xdr:row>3</xdr:row>
      <xdr:rowOff>104776</xdr:rowOff>
    </xdr:to>
    <xdr:sp macro="" textlink="">
      <xdr:nvSpPr>
        <xdr:cNvPr id="51" name="Rounded Rectangle 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400549" y="1143001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1</a:t>
          </a:r>
        </a:p>
      </xdr:txBody>
    </xdr:sp>
    <xdr:clientData/>
  </xdr:twoCellAnchor>
  <xdr:twoCellAnchor>
    <xdr:from>
      <xdr:col>6</xdr:col>
      <xdr:colOff>276224</xdr:colOff>
      <xdr:row>3</xdr:row>
      <xdr:rowOff>228601</xdr:rowOff>
    </xdr:from>
    <xdr:to>
      <xdr:col>10</xdr:col>
      <xdr:colOff>152399</xdr:colOff>
      <xdr:row>5</xdr:row>
      <xdr:rowOff>95251</xdr:rowOff>
    </xdr:to>
    <xdr:sp macro="" textlink="">
      <xdr:nvSpPr>
        <xdr:cNvPr id="52" name="Rounded Rectangle 5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391024" y="1743076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2</a:t>
          </a:r>
        </a:p>
      </xdr:txBody>
    </xdr:sp>
    <xdr:clientData/>
  </xdr:twoCellAnchor>
  <xdr:twoCellAnchor>
    <xdr:from>
      <xdr:col>6</xdr:col>
      <xdr:colOff>276224</xdr:colOff>
      <xdr:row>5</xdr:row>
      <xdr:rowOff>219076</xdr:rowOff>
    </xdr:from>
    <xdr:to>
      <xdr:col>10</xdr:col>
      <xdr:colOff>152399</xdr:colOff>
      <xdr:row>7</xdr:row>
      <xdr:rowOff>85726</xdr:rowOff>
    </xdr:to>
    <xdr:sp macro="" textlink="">
      <xdr:nvSpPr>
        <xdr:cNvPr id="53" name="Rounded Rectangle 5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391024" y="2343151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3</a:t>
          </a:r>
        </a:p>
      </xdr:txBody>
    </xdr:sp>
    <xdr:clientData/>
  </xdr:twoCellAnchor>
  <xdr:twoCellAnchor>
    <xdr:from>
      <xdr:col>6</xdr:col>
      <xdr:colOff>266699</xdr:colOff>
      <xdr:row>7</xdr:row>
      <xdr:rowOff>219076</xdr:rowOff>
    </xdr:from>
    <xdr:to>
      <xdr:col>10</xdr:col>
      <xdr:colOff>142874</xdr:colOff>
      <xdr:row>9</xdr:row>
      <xdr:rowOff>85726</xdr:rowOff>
    </xdr:to>
    <xdr:sp macro="" textlink="">
      <xdr:nvSpPr>
        <xdr:cNvPr id="54" name="Rounded Rectangle 5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381499" y="2952751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4</a:t>
          </a:r>
        </a:p>
      </xdr:txBody>
    </xdr:sp>
    <xdr:clientData/>
  </xdr:twoCellAnchor>
  <xdr:twoCellAnchor>
    <xdr:from>
      <xdr:col>6</xdr:col>
      <xdr:colOff>257174</xdr:colOff>
      <xdr:row>9</xdr:row>
      <xdr:rowOff>228601</xdr:rowOff>
    </xdr:from>
    <xdr:to>
      <xdr:col>10</xdr:col>
      <xdr:colOff>133349</xdr:colOff>
      <xdr:row>11</xdr:row>
      <xdr:rowOff>95251</xdr:rowOff>
    </xdr:to>
    <xdr:sp macro="" textlink="">
      <xdr:nvSpPr>
        <xdr:cNvPr id="55" name="Rounded Rectangle 5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371974" y="3571876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5</a:t>
          </a:r>
        </a:p>
      </xdr:txBody>
    </xdr:sp>
    <xdr:clientData/>
  </xdr:twoCellAnchor>
  <xdr:twoCellAnchor>
    <xdr:from>
      <xdr:col>6</xdr:col>
      <xdr:colOff>257174</xdr:colOff>
      <xdr:row>11</xdr:row>
      <xdr:rowOff>238126</xdr:rowOff>
    </xdr:from>
    <xdr:to>
      <xdr:col>10</xdr:col>
      <xdr:colOff>133349</xdr:colOff>
      <xdr:row>13</xdr:row>
      <xdr:rowOff>104776</xdr:rowOff>
    </xdr:to>
    <xdr:sp macro="" textlink="">
      <xdr:nvSpPr>
        <xdr:cNvPr id="56" name="Rounded Rectangle 5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371974" y="4191001"/>
          <a:ext cx="2619375" cy="476250"/>
        </a:xfrm>
        <a:prstGeom prst="roundRect">
          <a:avLst/>
        </a:prstGeom>
        <a:solidFill>
          <a:srgbClr val="66FF99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องค์ประกอบที่ 6</a:t>
          </a:r>
        </a:p>
      </xdr:txBody>
    </xdr:sp>
    <xdr:clientData/>
  </xdr:twoCellAnchor>
  <xdr:twoCellAnchor>
    <xdr:from>
      <xdr:col>10</xdr:col>
      <xdr:colOff>876299</xdr:colOff>
      <xdr:row>1</xdr:row>
      <xdr:rowOff>238126</xdr:rowOff>
    </xdr:from>
    <xdr:to>
      <xdr:col>14</xdr:col>
      <xdr:colOff>542924</xdr:colOff>
      <xdr:row>3</xdr:row>
      <xdr:rowOff>104776</xdr:rowOff>
    </xdr:to>
    <xdr:sp macro="" textlink="">
      <xdr:nvSpPr>
        <xdr:cNvPr id="57" name="Rounded Rectangle 5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734299" y="1143001"/>
          <a:ext cx="2619375" cy="476250"/>
        </a:xfrm>
        <a:prstGeom prst="roundRect">
          <a:avLst/>
        </a:prstGeom>
        <a:solidFill>
          <a:srgbClr val="00CC0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ผลการวิเคราะห์คุณภาพ</a:t>
          </a:r>
        </a:p>
      </xdr:txBody>
    </xdr:sp>
    <xdr:clientData/>
  </xdr:twoCellAnchor>
  <xdr:twoCellAnchor>
    <xdr:from>
      <xdr:col>10</xdr:col>
      <xdr:colOff>866774</xdr:colOff>
      <xdr:row>3</xdr:row>
      <xdr:rowOff>228601</xdr:rowOff>
    </xdr:from>
    <xdr:to>
      <xdr:col>14</xdr:col>
      <xdr:colOff>533399</xdr:colOff>
      <xdr:row>5</xdr:row>
      <xdr:rowOff>95251</xdr:rowOff>
    </xdr:to>
    <xdr:sp macro="" textlink="">
      <xdr:nvSpPr>
        <xdr:cNvPr id="58" name="Rounded Rectangle 5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724774" y="1743076"/>
          <a:ext cx="2619375" cy="476250"/>
        </a:xfrm>
        <a:prstGeom prst="roundRect">
          <a:avLst/>
        </a:prstGeom>
        <a:solidFill>
          <a:srgbClr val="00CC0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ผลประเมินตามตัวบ่งชี้</a:t>
          </a:r>
        </a:p>
      </xdr:txBody>
    </xdr:sp>
    <xdr:clientData/>
  </xdr:twoCellAnchor>
  <xdr:twoCellAnchor>
    <xdr:from>
      <xdr:col>1</xdr:col>
      <xdr:colOff>349249</xdr:colOff>
      <xdr:row>3</xdr:row>
      <xdr:rowOff>238126</xdr:rowOff>
    </xdr:from>
    <xdr:to>
      <xdr:col>5</xdr:col>
      <xdr:colOff>225424</xdr:colOff>
      <xdr:row>5</xdr:row>
      <xdr:rowOff>104776</xdr:rowOff>
    </xdr:to>
    <xdr:sp macro="" textlink="">
      <xdr:nvSpPr>
        <xdr:cNvPr id="11" name="Rounded Rectangle 4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D3F4647-5ADB-48F7-8E22-836A63626B0D}"/>
            </a:ext>
          </a:extLst>
        </xdr:cNvPr>
        <xdr:cNvSpPr/>
      </xdr:nvSpPr>
      <xdr:spPr>
        <a:xfrm>
          <a:off x="1035049" y="1749426"/>
          <a:ext cx="2619375" cy="476250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3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เพิ่มข้อมูลหลักสูตร/สาขาวิชา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495300</xdr:colOff>
      <xdr:row>12</xdr:row>
      <xdr:rowOff>180975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47800" y="4133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21</xdr:col>
      <xdr:colOff>85725</xdr:colOff>
      <xdr:row>3</xdr:row>
      <xdr:rowOff>85725</xdr:rowOff>
    </xdr:from>
    <xdr:to>
      <xdr:col>21</xdr:col>
      <xdr:colOff>530140</xdr:colOff>
      <xdr:row>5</xdr:row>
      <xdr:rowOff>12245</xdr:rowOff>
    </xdr:to>
    <xdr:pic>
      <xdr:nvPicPr>
        <xdr:cNvPr id="3" name="Picture 2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1123950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66675</xdr:rowOff>
    </xdr:from>
    <xdr:to>
      <xdr:col>5</xdr:col>
      <xdr:colOff>539665</xdr:colOff>
      <xdr:row>0</xdr:row>
      <xdr:rowOff>440870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6667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0</xdr:row>
      <xdr:rowOff>66675</xdr:rowOff>
    </xdr:from>
    <xdr:to>
      <xdr:col>17</xdr:col>
      <xdr:colOff>539665</xdr:colOff>
      <xdr:row>0</xdr:row>
      <xdr:rowOff>440870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333" y="6667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164354</xdr:colOff>
      <xdr:row>1</xdr:row>
      <xdr:rowOff>29881</xdr:rowOff>
    </xdr:from>
    <xdr:to>
      <xdr:col>10</xdr:col>
      <xdr:colOff>74707</xdr:colOff>
      <xdr:row>2</xdr:row>
      <xdr:rowOff>67234</xdr:rowOff>
    </xdr:to>
    <xdr:sp macro="" textlink="">
      <xdr:nvSpPr>
        <xdr:cNvPr id="3" name="Rectangle: Rounded Corner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9A7611-7B25-4BA4-9D83-6EE3444B58AE}"/>
            </a:ext>
          </a:extLst>
        </xdr:cNvPr>
        <xdr:cNvSpPr/>
      </xdr:nvSpPr>
      <xdr:spPr>
        <a:xfrm>
          <a:off x="7814236" y="709705"/>
          <a:ext cx="1038412" cy="381000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เพิ่มสาขาวิชา</a:t>
          </a:r>
        </a:p>
      </xdr:txBody>
    </xdr:sp>
    <xdr:clientData/>
  </xdr:twoCellAnchor>
  <xdr:twoCellAnchor>
    <xdr:from>
      <xdr:col>3</xdr:col>
      <xdr:colOff>134479</xdr:colOff>
      <xdr:row>1</xdr:row>
      <xdr:rowOff>29881</xdr:rowOff>
    </xdr:from>
    <xdr:to>
      <xdr:col>5</xdr:col>
      <xdr:colOff>171823</xdr:colOff>
      <xdr:row>2</xdr:row>
      <xdr:rowOff>67234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9AF604-6A70-49E3-A189-DDF601202317}"/>
            </a:ext>
          </a:extLst>
        </xdr:cNvPr>
        <xdr:cNvSpPr/>
      </xdr:nvSpPr>
      <xdr:spPr>
        <a:xfrm>
          <a:off x="3070420" y="709705"/>
          <a:ext cx="1098168" cy="381000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เพิ่มหลักสูตร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25401</xdr:rowOff>
    </xdr:from>
    <xdr:to>
      <xdr:col>4</xdr:col>
      <xdr:colOff>465573</xdr:colOff>
      <xdr:row>0</xdr:row>
      <xdr:rowOff>273051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7801B-2B73-48C3-B201-E5C0C839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25401"/>
          <a:ext cx="294123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47625</xdr:rowOff>
    </xdr:from>
    <xdr:to>
      <xdr:col>10</xdr:col>
      <xdr:colOff>549190</xdr:colOff>
      <xdr:row>1</xdr:row>
      <xdr:rowOff>31295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4762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38100</xdr:rowOff>
    </xdr:from>
    <xdr:to>
      <xdr:col>11</xdr:col>
      <xdr:colOff>492040</xdr:colOff>
      <xdr:row>1</xdr:row>
      <xdr:rowOff>21770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8100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47625</xdr:rowOff>
    </xdr:from>
    <xdr:to>
      <xdr:col>9</xdr:col>
      <xdr:colOff>520615</xdr:colOff>
      <xdr:row>1</xdr:row>
      <xdr:rowOff>31295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762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66675</xdr:rowOff>
    </xdr:from>
    <xdr:to>
      <xdr:col>9</xdr:col>
      <xdr:colOff>520615</xdr:colOff>
      <xdr:row>1</xdr:row>
      <xdr:rowOff>50345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667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57150</xdr:rowOff>
    </xdr:from>
    <xdr:to>
      <xdr:col>9</xdr:col>
      <xdr:colOff>511090</xdr:colOff>
      <xdr:row>1</xdr:row>
      <xdr:rowOff>40820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7150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66675</xdr:rowOff>
    </xdr:from>
    <xdr:to>
      <xdr:col>10</xdr:col>
      <xdr:colOff>149140</xdr:colOff>
      <xdr:row>1</xdr:row>
      <xdr:rowOff>50345</xdr:rowOff>
    </xdr:to>
    <xdr:pic>
      <xdr:nvPicPr>
        <xdr:cNvPr id="2" name="Picture 1" descr="https://www.nscrypt.com/wp-content/uploads/2015/08/icon-menu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66675"/>
          <a:ext cx="444415" cy="3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14F257-2DCB-4F69-9355-B5462A611D99}" name="Table1" displayName="Table1" ref="C1:C40" totalsRowShown="0" headerRowDxfId="5" dataDxfId="0">
  <autoFilter ref="C1:C40" xr:uid="{C02BB3B1-53AB-41BF-9568-E8CC65EF37F4}"/>
  <tableColumns count="1">
    <tableColumn id="1" xr3:uid="{A9B70781-4A31-4F16-82CF-C301EADD668E}" name="สาขาวิชา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8C6CD7-DDAC-4750-B91A-EB56837256A5}" name="Table4" displayName="Table4" ref="A1:A12" totalsRowShown="0" headerRowDxfId="3" dataDxfId="2">
  <autoFilter ref="A1:A12" xr:uid="{4DF61BA1-C945-4A34-B869-6CE94324BE71}"/>
  <tableColumns count="1">
    <tableColumn id="1" xr3:uid="{32391006-5CE4-415F-9916-08BF3D5753AE}" name="หลักสูตร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showRowColHeaders="0" tabSelected="1" workbookViewId="0">
      <selection activeCell="D23" sqref="D23"/>
    </sheetView>
  </sheetViews>
  <sheetFormatPr defaultColWidth="9" defaultRowHeight="24" x14ac:dyDescent="0.8"/>
  <cols>
    <col min="1" max="10" width="9" style="110"/>
    <col min="11" max="11" width="11.75" style="110" customWidth="1"/>
    <col min="12" max="16384" width="9" style="110"/>
  </cols>
  <sheetData>
    <row r="1" spans="1:17" s="109" customFormat="1" ht="71" x14ac:dyDescent="2.2999999999999998">
      <c r="A1" s="199" t="s">
        <v>208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11" spans="1:17" x14ac:dyDescent="0.8">
      <c r="L11" s="111" t="s">
        <v>207</v>
      </c>
    </row>
  </sheetData>
  <sheetProtection algorithmName="SHA-512" hashValue="efjpoR/7JV7vI5+ej5fOQOctsJ48ywKgnx4MFMVqwrua91HnJAppeAqTSPuG7tFIZYFYo9lTDsQxgk9yKZbFPA==" saltValue="vE6XUvalbGmCrLVudDIeLg==" spinCount="100000" sheet="1" objects="1" scenarios="1" selectLockedCells="1"/>
  <mergeCells count="1">
    <mergeCell ref="A1:Q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4.9989318521683403E-2"/>
    <pageSetUpPr fitToPage="1"/>
  </sheetPr>
  <dimension ref="A1:X28"/>
  <sheetViews>
    <sheetView showRowColHeaders="0" zoomScaleNormal="100" workbookViewId="0"/>
  </sheetViews>
  <sheetFormatPr defaultColWidth="9" defaultRowHeight="27" x14ac:dyDescent="0.9"/>
  <cols>
    <col min="1" max="1" width="9" style="3"/>
    <col min="2" max="2" width="13.75" style="3" bestFit="1" customWidth="1"/>
    <col min="3" max="3" width="9.25" style="3" bestFit="1" customWidth="1"/>
    <col min="4" max="4" width="8.75" style="3" customWidth="1"/>
    <col min="5" max="8" width="3.4140625" style="3" customWidth="1"/>
    <col min="9" max="11" width="4.25" style="3" customWidth="1"/>
    <col min="12" max="13" width="6.08203125" style="3" customWidth="1"/>
    <col min="14" max="14" width="11.6640625" style="10" customWidth="1"/>
    <col min="15" max="15" width="15.08203125" style="10" bestFit="1" customWidth="1"/>
    <col min="16" max="16" width="27.33203125" style="3" bestFit="1" customWidth="1"/>
    <col min="17" max="17" width="10.4140625" style="3" hidden="1" customWidth="1"/>
    <col min="18" max="21" width="0" style="3" hidden="1" customWidth="1"/>
    <col min="22" max="16384" width="9" style="3"/>
  </cols>
  <sheetData>
    <row r="1" spans="1:24" ht="36" customHeight="1" x14ac:dyDescent="1.25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24" ht="23.25" customHeight="1" x14ac:dyDescent="0.9">
      <c r="B2" s="244" t="str">
        <f>"หลักสูตร"&amp;DataSet!F3&amp;"  "&amp;"สาขาวิชา"&amp;DataSet!K3</f>
        <v>หลักสูตรหลักสูตร  สาขาวิชาสาขาวิชา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4" ht="22.5" customHeight="1" x14ac:dyDescent="0.9">
      <c r="B3" s="244" t="str">
        <f>"ปีการศึกษา"&amp;" "&amp;DataSet!D5</f>
        <v xml:space="preserve">ปีการศึกษา 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24" ht="7.5" customHeight="1" x14ac:dyDescent="0.9"/>
    <row r="5" spans="1:24" s="9" customFormat="1" x14ac:dyDescent="0.9">
      <c r="A5" s="182"/>
      <c r="B5" s="112" t="s">
        <v>1</v>
      </c>
      <c r="C5" s="243" t="s">
        <v>2</v>
      </c>
      <c r="D5" s="243"/>
      <c r="E5" s="243" t="s">
        <v>3</v>
      </c>
      <c r="F5" s="243"/>
      <c r="G5" s="243"/>
      <c r="H5" s="243"/>
      <c r="I5" s="243" t="s">
        <v>4</v>
      </c>
      <c r="J5" s="243"/>
      <c r="K5" s="243"/>
      <c r="L5" s="243" t="s">
        <v>5</v>
      </c>
      <c r="M5" s="243"/>
      <c r="N5" s="112" t="s">
        <v>6</v>
      </c>
      <c r="O5" s="112" t="s">
        <v>206</v>
      </c>
      <c r="P5" s="112" t="s">
        <v>7</v>
      </c>
      <c r="Q5" s="113"/>
    </row>
    <row r="6" spans="1:24" x14ac:dyDescent="0.9">
      <c r="B6" s="114">
        <v>1</v>
      </c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115">
        <f>IF('องค์ 1'!E15&lt;'องค์ 1'!F15,'องค์ 1'!H16,'องค์ 1'!H15)</f>
        <v>1</v>
      </c>
      <c r="Q6" s="116"/>
    </row>
    <row r="7" spans="1:24" x14ac:dyDescent="0.9">
      <c r="B7" s="117">
        <v>2</v>
      </c>
      <c r="C7" s="235" t="s">
        <v>8</v>
      </c>
      <c r="D7" s="118">
        <f>IF('องค์ 2'!J3=0,0,IF(DataSet!C3=DataSet!D19,COUNTA(DataSet!T3:T4),IF(DataSet!C3=DataSet!D20,COUNTA(DataSet!T3,DataSet!T5),COUNTA(DataSet!T3,DataSet!T6))))</f>
        <v>0</v>
      </c>
      <c r="E7" s="233"/>
      <c r="F7" s="236"/>
      <c r="G7" s="236"/>
      <c r="H7" s="234"/>
      <c r="I7" s="237"/>
      <c r="J7" s="237"/>
      <c r="K7" s="237"/>
      <c r="L7" s="241" t="str">
        <f>IF('องค์ 2'!J3=0,"N/A",IF(DataSet!C3=DataSet!D19,DataSet!U4,IF(DataSet!C3=DataSet!D20,DataSet!U5,DataSet!U6)))</f>
        <v>N/A</v>
      </c>
      <c r="M7" s="234"/>
      <c r="N7" s="119" t="str">
        <f>IF('องค์ 2'!J3=0,"N/A",IF(DataSet!C3=DataSet!D19,วิเคราะห์คุณภาพ!C17,IF(DataSet!C3=DataSet!D20,วิเคราะห์คุณภาพ!C18,วิเคราะห์คุณภาพ!C19)))</f>
        <v>N/A</v>
      </c>
      <c r="O7" s="120" t="str">
        <f>IF(N7="N/A","N/A",IF(N7&gt;4,"ดีมาก",IF(N7&gt;3,"ดี",IF(N7&gt;2,"ปานกลาง","น้อย"))))</f>
        <v>N/A</v>
      </c>
      <c r="P7" s="121" t="str">
        <f>IF(P6=DataSet!F19,"หลักสูตรเป็นไปตามมาตรฐาน","หลักสูตรไม่ได้มาตรฐาน")</f>
        <v>หลักสูตรเป็นไปตามมาตรฐาน</v>
      </c>
      <c r="Q7" s="116"/>
    </row>
    <row r="8" spans="1:24" x14ac:dyDescent="0.9">
      <c r="B8" s="122">
        <v>3</v>
      </c>
      <c r="C8" s="235"/>
      <c r="D8" s="118">
        <f>COUNTIF(DataSet!T7:T9,"&gt;0")</f>
        <v>0</v>
      </c>
      <c r="E8" s="241">
        <f>DataSet!U9</f>
        <v>0</v>
      </c>
      <c r="F8" s="236"/>
      <c r="G8" s="236"/>
      <c r="H8" s="234"/>
      <c r="I8" s="233"/>
      <c r="J8" s="236"/>
      <c r="K8" s="234"/>
      <c r="L8" s="233"/>
      <c r="M8" s="234"/>
      <c r="N8" s="119">
        <f>AVERAGE('องค์ 3'!J4,'องค์ 3'!J6,'องค์ 3'!J8)</f>
        <v>0</v>
      </c>
      <c r="O8" s="120" t="str">
        <f t="shared" ref="O8:O10" si="0">IF(N8="N/A","N/A",IF(N8&gt;4,"ดีมาก",IF(N8&gt;3,"ดี",IF(N8&gt;2,"ปานกลาง","น้อย"))))</f>
        <v>น้อย</v>
      </c>
      <c r="P8" s="121" t="str">
        <f>IF(P6=DataSet!F19,"และมีคุณภาพอยู่ในระดับ","")</f>
        <v>และมีคุณภาพอยู่ในระดับ</v>
      </c>
      <c r="Q8" s="116"/>
    </row>
    <row r="9" spans="1:24" x14ac:dyDescent="0.9">
      <c r="B9" s="123">
        <v>4</v>
      </c>
      <c r="C9" s="235"/>
      <c r="D9" s="263">
        <f>COUNTIF(DataSet!T10:T11,"&gt;0")+COUNTIF(DataSet!T13,"&gt;0")</f>
        <v>0</v>
      </c>
      <c r="E9" s="241" t="e">
        <f>IF(DataSet!C3=DataSet!D21,DataSet!U12,DataSet!U11)</f>
        <v>#DIV/0!</v>
      </c>
      <c r="F9" s="236"/>
      <c r="G9" s="236"/>
      <c r="H9" s="234"/>
      <c r="I9" s="233"/>
      <c r="J9" s="236"/>
      <c r="K9" s="234"/>
      <c r="L9" s="233"/>
      <c r="M9" s="234"/>
      <c r="N9" s="119" t="e">
        <f>AVERAGE('องค์ 4'!J4,'องค์ 4'!K6,'องค์ 4'!J11)</f>
        <v>#DIV/0!</v>
      </c>
      <c r="O9" s="120" t="e">
        <f t="shared" si="0"/>
        <v>#DIV/0!</v>
      </c>
      <c r="P9" s="249" t="e">
        <f>IF(P7="หลักสูตรไม่ได้มาตรฐาน"," ",IF(N13&gt;4,"ดีมาก",IF(N13&gt;3,"ดี",IF(N13&gt;2,"ปานกลาง","น้อย"))))</f>
        <v>#DIV/0!</v>
      </c>
      <c r="Q9" s="116"/>
    </row>
    <row r="10" spans="1:24" x14ac:dyDescent="0.9">
      <c r="B10" s="124">
        <v>5</v>
      </c>
      <c r="C10" s="235"/>
      <c r="D10" s="118">
        <f>COUNTIF(DataSet!T14:T17,"&gt;0")</f>
        <v>0</v>
      </c>
      <c r="E10" s="241">
        <f>DataSet!U14</f>
        <v>0</v>
      </c>
      <c r="F10" s="236"/>
      <c r="G10" s="236"/>
      <c r="H10" s="234"/>
      <c r="I10" s="241" t="e">
        <f>DataSet!U17</f>
        <v>#DIV/0!</v>
      </c>
      <c r="J10" s="236"/>
      <c r="K10" s="234"/>
      <c r="L10" s="233"/>
      <c r="M10" s="234"/>
      <c r="N10" s="119" t="e">
        <f>AVERAGE('องค์ 5'!J4,'องค์ 5'!J6,'องค์ 5'!J8,'องค์ 5'!L12)</f>
        <v>#DIV/0!</v>
      </c>
      <c r="O10" s="120" t="e">
        <f t="shared" si="0"/>
        <v>#DIV/0!</v>
      </c>
      <c r="P10" s="249"/>
      <c r="Q10" s="116"/>
    </row>
    <row r="11" spans="1:24" x14ac:dyDescent="0.9">
      <c r="B11" s="125">
        <v>6</v>
      </c>
      <c r="C11" s="235"/>
      <c r="D11" s="118">
        <f>COUNTIF(DataSet!T18,"&gt;0")</f>
        <v>0</v>
      </c>
      <c r="E11" s="233"/>
      <c r="F11" s="236"/>
      <c r="G11" s="236"/>
      <c r="H11" s="234"/>
      <c r="I11" s="241">
        <f>DataSet!U18</f>
        <v>0</v>
      </c>
      <c r="J11" s="236"/>
      <c r="K11" s="234"/>
      <c r="L11" s="233"/>
      <c r="M11" s="234"/>
      <c r="N11" s="119">
        <f>AVERAGE('องค์ 6'!J4)</f>
        <v>0</v>
      </c>
      <c r="O11" s="120" t="str">
        <f>IF(N11="N/A","N/A",IF(N11&gt;4,"ดีมาก",IF(N11&gt;3,"ดี",IF(N11&gt;2,"ปานกลาง","น้อย"))))</f>
        <v>น้อย</v>
      </c>
      <c r="P11" s="126"/>
      <c r="Q11" s="116"/>
    </row>
    <row r="12" spans="1:24" s="1" customFormat="1" x14ac:dyDescent="0.9">
      <c r="B12" s="127" t="s">
        <v>89</v>
      </c>
      <c r="C12" s="235"/>
      <c r="D12" s="128">
        <f>SUM(D7:D11)</f>
        <v>0</v>
      </c>
      <c r="E12" s="238">
        <f>COUNTA(DataSet!T7:T9,DataSet!T10,DataSet!T11,DataSet!T13,DataSet!T14)</f>
        <v>7</v>
      </c>
      <c r="F12" s="239"/>
      <c r="G12" s="239"/>
      <c r="H12" s="240"/>
      <c r="I12" s="238">
        <f>COUNTA(DataSet!T15:T18)</f>
        <v>4</v>
      </c>
      <c r="J12" s="239"/>
      <c r="K12" s="240"/>
      <c r="L12" s="238">
        <f>IF('องค์ 2'!J3&gt;0,COUNTA(DataSet!T3:T4),0)</f>
        <v>0</v>
      </c>
      <c r="M12" s="240"/>
      <c r="N12" s="129"/>
      <c r="O12" s="179" t="e">
        <f>IF(DataSet!C3=DataSet!D19,DataSet!W3,IF(DataSet!C3=DataSet!D20,DataSet!X3,DataSet!Y3))</f>
        <v>#DIV/0!</v>
      </c>
      <c r="P12" s="130"/>
      <c r="Q12" s="131"/>
    </row>
    <row r="13" spans="1:24" s="1" customFormat="1" x14ac:dyDescent="0.9">
      <c r="B13" s="250" t="s">
        <v>7</v>
      </c>
      <c r="C13" s="250"/>
      <c r="D13" s="250"/>
      <c r="E13" s="251" t="e">
        <f>IF(DataSet!C3=DataSet!D21,AVERAGE('องค์ 3'!J4,'องค์ 3'!J6,'องค์ 3'!J8,'องค์ 4'!J4,'องค์ 4'!K7,'องค์ 4'!J11,'องค์ 5'!J4),AVERAGE('องค์ 3'!J4,'องค์ 3'!J6,'องค์ 3'!J8,'องค์ 4'!J4,'องค์ 4'!K6,'องค์ 4'!J11,'องค์ 5'!J4))</f>
        <v>#DIV/0!</v>
      </c>
      <c r="F13" s="251"/>
      <c r="G13" s="251"/>
      <c r="H13" s="251"/>
      <c r="I13" s="251" t="e">
        <f>AVERAGE(DataSet!T15:T18)</f>
        <v>#DIV/0!</v>
      </c>
      <c r="J13" s="251"/>
      <c r="K13" s="251"/>
      <c r="L13" s="251">
        <f>IF(DataSet!C3=DataSet!D19,C17,IF(DataSet!C3=DataSet!D20,C18,C19))</f>
        <v>0</v>
      </c>
      <c r="M13" s="251"/>
      <c r="N13" s="132" t="e">
        <f>IF('องค์ 2'!J3&gt;0,วิเคราะห์คุณภาพ!O12,วิเคราะห์คุณภาพ!O13)</f>
        <v>#DIV/0!</v>
      </c>
      <c r="O13" s="133" t="e">
        <f>IF(DataSet!C3=DataSet!D19,DataSet!W4,IF(DataSet!C3=DataSet!D20,DataSet!X4,DataSet!Y4))</f>
        <v>#DIV/0!</v>
      </c>
      <c r="P13" s="134"/>
      <c r="Q13" s="131"/>
    </row>
    <row r="14" spans="1:24" s="1" customFormat="1" x14ac:dyDescent="0.9">
      <c r="B14" s="250" t="s">
        <v>206</v>
      </c>
      <c r="C14" s="250"/>
      <c r="D14" s="250"/>
      <c r="E14" s="251" t="e">
        <f>IF(E13="N/A","N/A",IF(E13&gt;4,"ดีมาก",IF(E13&gt;3,"ดี",IF(E13&gt;2,"ปานกลาง","น้อย"))))</f>
        <v>#DIV/0!</v>
      </c>
      <c r="F14" s="251"/>
      <c r="G14" s="251"/>
      <c r="H14" s="251"/>
      <c r="I14" s="251" t="e">
        <f>IF(I13="N/A","N/A",IF(I13&gt;4,"ดีมาก",IF(I13&gt;3,"ดี",IF(I13&gt;2,"ปานกลาง","น้อย"))))</f>
        <v>#DIV/0!</v>
      </c>
      <c r="J14" s="251"/>
      <c r="K14" s="251"/>
      <c r="L14" s="251" t="str">
        <f>IF(L13="N/A","N/A",IF(L13&gt;4,"ดีมาก",IF(L13&gt;3,"ดี",IF(L13&gt;2,"ปานกลาง","น้อย"))))</f>
        <v>น้อย</v>
      </c>
      <c r="M14" s="251"/>
      <c r="N14" s="135"/>
      <c r="O14" s="136"/>
      <c r="P14" s="137"/>
      <c r="Q14" s="131"/>
    </row>
    <row r="15" spans="1:24" s="67" customFormat="1" x14ac:dyDescent="0.9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248" t="s">
        <v>166</v>
      </c>
      <c r="O15" s="248"/>
      <c r="P15" s="248"/>
      <c r="Q15" s="248"/>
      <c r="R15" s="183"/>
      <c r="S15" s="183"/>
      <c r="T15" s="183"/>
      <c r="U15" s="183"/>
      <c r="V15" s="183"/>
      <c r="W15" s="183"/>
      <c r="X15" s="183"/>
    </row>
    <row r="16" spans="1:24" s="67" customFormat="1" x14ac:dyDescent="0.9">
      <c r="B16" s="138"/>
      <c r="C16" s="138" t="s">
        <v>31</v>
      </c>
      <c r="D16" s="138" t="s">
        <v>165</v>
      </c>
      <c r="E16" s="138"/>
      <c r="F16" s="138"/>
      <c r="G16" s="138"/>
      <c r="H16" s="138"/>
      <c r="I16" s="138"/>
      <c r="J16" s="138"/>
      <c r="K16" s="138"/>
      <c r="L16" s="139"/>
      <c r="M16" s="139"/>
      <c r="N16" s="140" t="s">
        <v>163</v>
      </c>
      <c r="O16" s="140"/>
      <c r="P16" s="138" t="s">
        <v>164</v>
      </c>
      <c r="Q16" s="138" t="s">
        <v>31</v>
      </c>
      <c r="R16" s="183"/>
      <c r="S16" s="183"/>
      <c r="T16" s="183"/>
      <c r="U16" s="183"/>
      <c r="V16" s="183"/>
      <c r="W16" s="183"/>
      <c r="X16" s="183"/>
    </row>
    <row r="17" spans="2:24" s="67" customFormat="1" x14ac:dyDescent="0.9">
      <c r="B17" s="138" t="s">
        <v>94</v>
      </c>
      <c r="C17" s="138">
        <f>IF('องค์ 2'!J3&gt;0,D17,0)</f>
        <v>0</v>
      </c>
      <c r="D17" s="194">
        <f>AVERAGE('องค์ 2'!L4:L5,'องค์ 2'!M8)</f>
        <v>0</v>
      </c>
      <c r="E17" s="194"/>
      <c r="F17" s="138"/>
      <c r="G17" s="138"/>
      <c r="H17" s="138"/>
      <c r="I17" s="138"/>
      <c r="J17" s="138"/>
      <c r="K17" s="138"/>
      <c r="L17" s="139"/>
      <c r="M17" s="139"/>
      <c r="N17" s="141" t="e">
        <f>(SUM('องค์ 2'!L4:L5,'องค์ 2'!M8,'องค์ 3'!J4,'องค์ 3'!J6,'องค์ 3'!J8,'องค์ 4'!J4,'องค์ 4'!K6,'องค์ 4'!J11,'องค์ 5'!J4,'องค์ 5'!J6,'องค์ 5'!J8,'องค์ 5'!L12,'องค์ 6'!J4)/13)</f>
        <v>#DIV/0!</v>
      </c>
      <c r="O17" s="141"/>
      <c r="P17" s="195" t="e">
        <f>(SUM('องค์ 3'!J4,'องค์ 3'!J6,'องค์ 3'!J8,'องค์ 4'!J4,'องค์ 4'!K6,'องค์ 4'!J11,'องค์ 5'!J4,'องค์ 5'!J6,'องค์ 5'!J8,'องค์ 5'!L12,'องค์ 6'!J4)/11)</f>
        <v>#DIV/0!</v>
      </c>
      <c r="Q17" s="195" t="e">
        <f>IF('องค์ 2'!J3&gt;0,N17,P17)</f>
        <v>#DIV/0!</v>
      </c>
      <c r="R17" s="183"/>
      <c r="S17" s="183"/>
      <c r="T17" s="183"/>
      <c r="U17" s="183"/>
      <c r="V17" s="183"/>
      <c r="W17" s="183"/>
      <c r="X17" s="183"/>
    </row>
    <row r="18" spans="2:24" s="67" customFormat="1" x14ac:dyDescent="0.9">
      <c r="B18" s="138" t="s">
        <v>95</v>
      </c>
      <c r="C18" s="138">
        <f>IF('องค์ 2'!J3&gt;0,D18,0)</f>
        <v>0</v>
      </c>
      <c r="D18" s="194">
        <f>AVERAGE('องค์ 2'!L4:L5,'องค์ 2'!M18)</f>
        <v>0</v>
      </c>
      <c r="E18" s="194"/>
      <c r="F18" s="138"/>
      <c r="G18" s="138"/>
      <c r="H18" s="138"/>
      <c r="I18" s="138"/>
      <c r="J18" s="138"/>
      <c r="K18" s="138"/>
      <c r="L18" s="139"/>
      <c r="M18" s="139"/>
      <c r="N18" s="141" t="e">
        <f>(SUM('องค์ 2'!L4:L5,'องค์ 2'!M18,'องค์ 3'!J4,'องค์ 3'!J6,'องค์ 3'!J8,'องค์ 4'!J4,'องค์ 4'!K6,'องค์ 4'!J11,'องค์ 5'!J4,'องค์ 5'!J6,'องค์ 5'!J8,'องค์ 5'!L12,'องค์ 6'!J4)/13)</f>
        <v>#DIV/0!</v>
      </c>
      <c r="O18" s="141"/>
      <c r="P18" s="195" t="e">
        <f>(SUM('องค์ 3'!J4,'องค์ 3'!J6,'องค์ 3'!J8,'องค์ 4'!J4,'องค์ 4'!K6,'องค์ 4'!J11,'องค์ 5'!J4,'องค์ 5'!J6,'องค์ 5'!J8,'องค์ 5'!L12,'องค์ 6'!J4)/11)</f>
        <v>#DIV/0!</v>
      </c>
      <c r="Q18" s="195" t="e">
        <f>IF('องค์ 2'!J3&gt;0,N18,P18)</f>
        <v>#DIV/0!</v>
      </c>
      <c r="R18" s="183"/>
      <c r="S18" s="183"/>
      <c r="T18" s="183"/>
      <c r="U18" s="183"/>
      <c r="V18" s="183"/>
      <c r="W18" s="183"/>
      <c r="X18" s="183"/>
    </row>
    <row r="19" spans="2:24" s="67" customFormat="1" x14ac:dyDescent="0.9">
      <c r="B19" s="138" t="s">
        <v>96</v>
      </c>
      <c r="C19" s="138">
        <f>IF('องค์ 2'!J3&gt;0,D19,0)</f>
        <v>0</v>
      </c>
      <c r="D19" s="194">
        <f>AVERAGE('องค์ 2'!L4:L5,'องค์ 2'!M21)</f>
        <v>0</v>
      </c>
      <c r="E19" s="194"/>
      <c r="F19" s="138"/>
      <c r="G19" s="138"/>
      <c r="H19" s="138"/>
      <c r="I19" s="138"/>
      <c r="J19" s="138"/>
      <c r="K19" s="138"/>
      <c r="L19" s="139"/>
      <c r="M19" s="139"/>
      <c r="N19" s="141" t="e">
        <f>(SUM('องค์ 2'!L4:L5,'องค์ 2'!M21,'องค์ 3'!J4,'องค์ 3'!J6,'องค์ 3'!J8,'องค์ 4'!J4,'องค์ 4'!K6,'องค์ 4'!J11,'องค์ 5'!J4,'องค์ 5'!J6,'องค์ 5'!J8,'องค์ 5'!L12,'องค์ 6'!J4)/14)</f>
        <v>#DIV/0!</v>
      </c>
      <c r="O19" s="141"/>
      <c r="P19" s="195" t="e">
        <f>(SUM('องค์ 3'!J4,'องค์ 3'!J6,'องค์ 3'!J8,'องค์ 4'!J4,'องค์ 4'!K6,'องค์ 4'!J11,'องค์ 5'!J4,'องค์ 5'!J6,'องค์ 5'!J8,'องค์ 5'!L12,'องค์ 6'!J4)/12)</f>
        <v>#DIV/0!</v>
      </c>
      <c r="Q19" s="195" t="e">
        <f>IF('องค์ 2'!J3&gt;0,N19,P19)</f>
        <v>#DIV/0!</v>
      </c>
      <c r="R19" s="183"/>
      <c r="S19" s="183"/>
      <c r="T19" s="183"/>
      <c r="U19" s="183"/>
      <c r="V19" s="183"/>
      <c r="W19" s="183"/>
      <c r="X19" s="183"/>
    </row>
    <row r="20" spans="2:24" x14ac:dyDescent="0.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87"/>
      <c r="O20" s="87"/>
      <c r="P20" s="67"/>
      <c r="Q20" s="67"/>
      <c r="R20" s="183"/>
      <c r="S20" s="183"/>
      <c r="T20" s="183"/>
      <c r="U20" s="183"/>
      <c r="V20" s="183"/>
      <c r="W20" s="183"/>
      <c r="X20" s="183"/>
    </row>
    <row r="21" spans="2:24" x14ac:dyDescent="0.9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  <c r="O21" s="184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2:24" x14ac:dyDescent="0.9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  <c r="O22" s="184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2:24" x14ac:dyDescent="0.9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84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2:24" x14ac:dyDescent="0.9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84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x14ac:dyDescent="0.9"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84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2:24" x14ac:dyDescent="0.9"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84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2:24" x14ac:dyDescent="0.9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84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2:24" x14ac:dyDescent="0.9"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O28" s="184"/>
      <c r="P28" s="183"/>
      <c r="Q28" s="183"/>
      <c r="R28" s="183"/>
      <c r="S28" s="183"/>
      <c r="T28" s="183"/>
      <c r="U28" s="183"/>
      <c r="V28" s="183"/>
      <c r="W28" s="183"/>
      <c r="X28" s="183"/>
    </row>
  </sheetData>
  <sheetProtection algorithmName="SHA-512" hashValue="T1RqM6PvVzn8ytxOFKz2aBd5zLB7fc2iEzGk2yLeF2DxUSfWV89MWHGfszDY6Mkp5OuZAXM3h8i4BMBJuS6CHg==" saltValue="tbI9hDNqW9XpAagx76RvVQ==" spinCount="100000" sheet="1" selectLockedCells="1"/>
  <mergeCells count="37">
    <mergeCell ref="C6:O6"/>
    <mergeCell ref="N15:Q15"/>
    <mergeCell ref="P9:P10"/>
    <mergeCell ref="E10:H10"/>
    <mergeCell ref="L10:M10"/>
    <mergeCell ref="B13:D13"/>
    <mergeCell ref="E13:H13"/>
    <mergeCell ref="I13:K13"/>
    <mergeCell ref="L13:M13"/>
    <mergeCell ref="I12:K12"/>
    <mergeCell ref="L12:M12"/>
    <mergeCell ref="B14:D14"/>
    <mergeCell ref="E14:H14"/>
    <mergeCell ref="I14:K14"/>
    <mergeCell ref="L14:M14"/>
    <mergeCell ref="E11:H11"/>
    <mergeCell ref="B1:P1"/>
    <mergeCell ref="C5:D5"/>
    <mergeCell ref="E5:H5"/>
    <mergeCell ref="I5:K5"/>
    <mergeCell ref="L5:M5"/>
    <mergeCell ref="B2:P2"/>
    <mergeCell ref="B3:P3"/>
    <mergeCell ref="L11:M11"/>
    <mergeCell ref="C7:C12"/>
    <mergeCell ref="E7:H7"/>
    <mergeCell ref="I7:K7"/>
    <mergeCell ref="I8:K8"/>
    <mergeCell ref="L8:M8"/>
    <mergeCell ref="I9:K9"/>
    <mergeCell ref="L9:M9"/>
    <mergeCell ref="E12:H12"/>
    <mergeCell ref="L7:M7"/>
    <mergeCell ref="E8:H8"/>
    <mergeCell ref="E9:H9"/>
    <mergeCell ref="I10:K10"/>
    <mergeCell ref="I11:K11"/>
  </mergeCells>
  <conditionalFormatting sqref="P9:P10">
    <cfRule type="cellIs" dxfId="16" priority="9" operator="equal">
      <formula>"น้อย"</formula>
    </cfRule>
    <cfRule type="cellIs" dxfId="15" priority="10" operator="equal">
      <formula>"ปานกลาง"</formula>
    </cfRule>
    <cfRule type="cellIs" dxfId="14" priority="11" operator="equal">
      <formula>"ดี"</formula>
    </cfRule>
    <cfRule type="cellIs" dxfId="13" priority="12" operator="equal">
      <formula>"ดีมาก"</formula>
    </cfRule>
  </conditionalFormatting>
  <conditionalFormatting sqref="P7">
    <cfRule type="cellIs" dxfId="12" priority="6" operator="equal">
      <formula>"หลักสูตรไม่ได้มาตรฐาน"</formula>
    </cfRule>
    <cfRule type="cellIs" dxfId="11" priority="8" operator="equal">
      <formula>"หลักสูตรเป็นไปตามมาตรฐาน"</formula>
    </cfRule>
  </conditionalFormatting>
  <conditionalFormatting sqref="P8">
    <cfRule type="cellIs" dxfId="10" priority="7" operator="equal">
      <formula>"และมีคุณภาพอยู่ในระดับ"</formula>
    </cfRule>
  </conditionalFormatting>
  <conditionalFormatting sqref="O7:O11 E14:M14">
    <cfRule type="cellIs" dxfId="9" priority="1" operator="equal">
      <formula>"ดีมาก"</formula>
    </cfRule>
    <cfRule type="cellIs" dxfId="8" priority="2" operator="equal">
      <formula>"ดี"</formula>
    </cfRule>
    <cfRule type="cellIs" dxfId="7" priority="3" operator="equal">
      <formula>"ปานกลาง"</formula>
    </cfRule>
    <cfRule type="cellIs" dxfId="6" priority="5" operator="equal">
      <formula>"น้อย"</formula>
    </cfRule>
  </conditionalFormatting>
  <pageMargins left="0.7" right="0.08" top="0.75" bottom="0.75" header="0.3" footer="0.3"/>
  <pageSetup scale="93" fitToHeight="0" orientation="landscape" r:id="rId1"/>
  <headerFooter>
    <oddFooter>&amp;R&amp;"SP SUAN DUSIT,Regular"&amp;12Copyright@2017 by Bunpod Pijitkamnerd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2D0642A-763C-4BD3-A6B5-BBDB92F3350E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75"/>
  <sheetViews>
    <sheetView showRowColHeaders="0" zoomScaleNormal="100" workbookViewId="0">
      <selection activeCell="AK11" sqref="AK11"/>
    </sheetView>
  </sheetViews>
  <sheetFormatPr defaultColWidth="9" defaultRowHeight="27" x14ac:dyDescent="0.9"/>
  <cols>
    <col min="1" max="1" width="9" style="93"/>
    <col min="2" max="2" width="2.9140625" style="93" customWidth="1"/>
    <col min="3" max="3" width="77.25" style="95" bestFit="1" customWidth="1"/>
    <col min="4" max="4" width="13.6640625" style="92" customWidth="1"/>
    <col min="5" max="5" width="30" style="92" customWidth="1"/>
    <col min="6" max="6" width="10" style="92" customWidth="1"/>
    <col min="7" max="9" width="9.08203125" style="92" hidden="1" customWidth="1"/>
    <col min="10" max="16" width="9" style="93" hidden="1" customWidth="1"/>
    <col min="17" max="19" width="0" style="93" hidden="1" customWidth="1"/>
    <col min="20" max="16384" width="9" style="93"/>
  </cols>
  <sheetData>
    <row r="1" spans="2:9" s="91" customFormat="1" ht="38.5" x14ac:dyDescent="1.25">
      <c r="B1" s="255" t="s">
        <v>183</v>
      </c>
      <c r="C1" s="255"/>
      <c r="D1" s="255"/>
      <c r="E1" s="255"/>
      <c r="F1" s="90"/>
      <c r="G1" s="90"/>
      <c r="H1" s="90"/>
      <c r="I1" s="90"/>
    </row>
    <row r="2" spans="2:9" s="167" customFormat="1" ht="30" x14ac:dyDescent="1">
      <c r="B2" s="260" t="str">
        <f>"หลักสูตร"&amp;DataSet!F3&amp;"  "&amp;"สาขาวิชา"&amp;DataSet!K3</f>
        <v>หลักสูตรหลักสูตร  สาขาวิชาสาขาวิชา</v>
      </c>
      <c r="C2" s="260"/>
      <c r="D2" s="260"/>
      <c r="E2" s="260"/>
      <c r="F2" s="97"/>
      <c r="G2" s="97"/>
      <c r="H2" s="97"/>
      <c r="I2" s="97"/>
    </row>
    <row r="3" spans="2:9" s="167" customFormat="1" ht="30" x14ac:dyDescent="1">
      <c r="B3" s="261" t="str">
        <f>"ปีการศึกษา"&amp;" "&amp;DataSet!D5</f>
        <v xml:space="preserve">ปีการศึกษา </v>
      </c>
      <c r="C3" s="261"/>
      <c r="D3" s="261"/>
      <c r="E3" s="261"/>
      <c r="F3" s="97"/>
      <c r="G3" s="97"/>
      <c r="H3" s="97"/>
      <c r="I3" s="97"/>
    </row>
    <row r="4" spans="2:9" s="91" customFormat="1" x14ac:dyDescent="0.9">
      <c r="B4" s="254" t="s">
        <v>147</v>
      </c>
      <c r="C4" s="254"/>
      <c r="D4" s="142" t="s">
        <v>171</v>
      </c>
      <c r="E4" s="142" t="s">
        <v>184</v>
      </c>
      <c r="F4" s="90"/>
      <c r="G4" s="90"/>
      <c r="H4" s="90"/>
      <c r="I4" s="90"/>
    </row>
    <row r="5" spans="2:9" s="91" customFormat="1" x14ac:dyDescent="0.9">
      <c r="B5" s="256" t="s">
        <v>185</v>
      </c>
      <c r="C5" s="256"/>
      <c r="D5" s="256"/>
      <c r="E5" s="256"/>
      <c r="F5" s="90"/>
      <c r="G5" s="90"/>
      <c r="H5" s="90"/>
      <c r="I5" s="90"/>
    </row>
    <row r="6" spans="2:9" s="91" customFormat="1" x14ac:dyDescent="0.9">
      <c r="B6" s="143"/>
      <c r="C6" s="143" t="s">
        <v>186</v>
      </c>
      <c r="D6" s="142" t="str">
        <f>IF(วิเคราะห์คุณภาพ!P6=DataSet!F19,"ผ่านเกณฑ์","ไม่ผ่านเกณฑ์")</f>
        <v>ผ่านเกณฑ์</v>
      </c>
      <c r="E6" s="142"/>
      <c r="F6" s="90"/>
      <c r="G6" s="90"/>
      <c r="H6" s="90"/>
      <c r="I6" s="90"/>
    </row>
    <row r="7" spans="2:9" s="91" customFormat="1" x14ac:dyDescent="0.9">
      <c r="B7" s="257" t="s">
        <v>187</v>
      </c>
      <c r="C7" s="257"/>
      <c r="D7" s="257"/>
      <c r="E7" s="257"/>
      <c r="F7" s="90"/>
      <c r="G7" s="90"/>
      <c r="H7" s="90"/>
      <c r="I7" s="90"/>
    </row>
    <row r="8" spans="2:9" x14ac:dyDescent="0.9">
      <c r="B8" s="143"/>
      <c r="C8" s="144" t="s">
        <v>188</v>
      </c>
      <c r="D8" s="145">
        <f>'องค์ 2'!L5</f>
        <v>0</v>
      </c>
      <c r="E8" s="146"/>
      <c r="G8" s="96"/>
      <c r="H8" s="96"/>
      <c r="I8" s="96"/>
    </row>
    <row r="9" spans="2:9" x14ac:dyDescent="0.9">
      <c r="B9" s="147"/>
      <c r="C9" s="144" t="str">
        <f>IF(DataSet!C3=DataSet!D19,"2.2 ภาวะการมีงานทำของบัณฑิตภายในระยะเวลา 1 ปี",IF(DataSet!C3=DataSet!D20,"2.2 ผลงานของนักศึกษาและผู้สำเร็จการศึกษาในระดับปริญญาโทที่ได้รับการตีพิมพ์หรือเผยแพร่","2.2 ผลงานของนักศึกษาและผู้สำเร็จการศึกษาในระดับปริญญาเอกที่ได้รับการตีพิมพ์หรือเผยแพร่"))</f>
        <v>2.2 ผลงานของนักศึกษาและผู้สำเร็จการศึกษาในระดับปริญญาเอกที่ได้รับการตีพิมพ์หรือเผยแพร่</v>
      </c>
      <c r="D9" s="145">
        <f>IF(DataSet!C3=DataSet!D19,'องค์ 2'!M8,IF(DataSet!C3=DataSet!D20,'องค์ 2'!M18,'องค์ 2'!M21))</f>
        <v>0</v>
      </c>
      <c r="E9" s="148"/>
      <c r="F9" s="96"/>
      <c r="G9" s="96"/>
      <c r="H9" s="96"/>
      <c r="I9" s="96"/>
    </row>
    <row r="10" spans="2:9" x14ac:dyDescent="0.9">
      <c r="B10" s="259" t="s">
        <v>189</v>
      </c>
      <c r="C10" s="259"/>
      <c r="D10" s="259"/>
      <c r="E10" s="259"/>
      <c r="F10" s="96"/>
    </row>
    <row r="11" spans="2:9" x14ac:dyDescent="0.9">
      <c r="B11" s="147"/>
      <c r="C11" s="144" t="s">
        <v>190</v>
      </c>
      <c r="D11" s="145">
        <f>'องค์ 3'!J4</f>
        <v>0</v>
      </c>
      <c r="E11" s="146"/>
    </row>
    <row r="12" spans="2:9" x14ac:dyDescent="0.9">
      <c r="B12" s="147"/>
      <c r="C12" s="144" t="s">
        <v>191</v>
      </c>
      <c r="D12" s="145">
        <f>'องค์ 3'!J6</f>
        <v>0</v>
      </c>
      <c r="E12" s="146"/>
    </row>
    <row r="13" spans="2:9" x14ac:dyDescent="0.9">
      <c r="B13" s="147"/>
      <c r="C13" s="144" t="s">
        <v>192</v>
      </c>
      <c r="D13" s="145">
        <f>'องค์ 3'!J8</f>
        <v>0</v>
      </c>
      <c r="E13" s="148"/>
      <c r="F13" s="96"/>
    </row>
    <row r="14" spans="2:9" x14ac:dyDescent="0.9">
      <c r="B14" s="258" t="s">
        <v>193</v>
      </c>
      <c r="C14" s="258"/>
      <c r="D14" s="258"/>
      <c r="E14" s="258"/>
      <c r="F14" s="96"/>
    </row>
    <row r="15" spans="2:9" x14ac:dyDescent="0.9">
      <c r="B15" s="147"/>
      <c r="C15" s="144" t="s">
        <v>194</v>
      </c>
      <c r="D15" s="145">
        <f>'องค์ 4'!J4</f>
        <v>0</v>
      </c>
      <c r="E15" s="146"/>
    </row>
    <row r="16" spans="2:9" x14ac:dyDescent="0.9">
      <c r="B16" s="149"/>
      <c r="C16" s="144" t="s">
        <v>195</v>
      </c>
      <c r="D16" s="145" t="e">
        <f>'องค์ 4'!J6</f>
        <v>#DIV/0!</v>
      </c>
      <c r="E16" s="148"/>
      <c r="F16" s="96"/>
    </row>
    <row r="17" spans="2:9" x14ac:dyDescent="0.9">
      <c r="B17" s="149"/>
      <c r="C17" s="144" t="s">
        <v>196</v>
      </c>
      <c r="D17" s="145" t="e">
        <f>'องค์ 4'!J7</f>
        <v>#DIV/0!</v>
      </c>
      <c r="E17" s="148"/>
      <c r="F17" s="96"/>
    </row>
    <row r="18" spans="2:9" x14ac:dyDescent="0.9">
      <c r="B18" s="149"/>
      <c r="C18" s="144" t="s">
        <v>197</v>
      </c>
      <c r="D18" s="145" t="e">
        <f>'องค์ 4'!J8</f>
        <v>#DIV/0!</v>
      </c>
      <c r="E18" s="148"/>
      <c r="F18" s="96"/>
    </row>
    <row r="19" spans="2:9" x14ac:dyDescent="0.9">
      <c r="B19" s="149"/>
      <c r="C19" s="144" t="str">
        <f>IF(DataSet!C3=DataSet!D21,"4.2 จำนวนบทความของอาจารย์ประจำหลักสูตรปริญญาเอกที่ได้รับการอ้างอิง"," ")</f>
        <v xml:space="preserve"> </v>
      </c>
      <c r="D19" s="145" t="str">
        <f>'องค์ 4'!J9</f>
        <v xml:space="preserve"> </v>
      </c>
      <c r="E19" s="148"/>
      <c r="F19" s="96"/>
    </row>
    <row r="20" spans="2:9" x14ac:dyDescent="0.9">
      <c r="B20" s="149"/>
      <c r="C20" s="144" t="s">
        <v>198</v>
      </c>
      <c r="D20" s="145">
        <f>'องค์ 4'!J11</f>
        <v>0</v>
      </c>
      <c r="E20" s="146"/>
    </row>
    <row r="21" spans="2:9" x14ac:dyDescent="0.9">
      <c r="B21" s="252" t="s">
        <v>199</v>
      </c>
      <c r="C21" s="252"/>
      <c r="D21" s="252"/>
      <c r="E21" s="252"/>
    </row>
    <row r="22" spans="2:9" x14ac:dyDescent="0.9">
      <c r="B22" s="149"/>
      <c r="C22" s="144" t="s">
        <v>200</v>
      </c>
      <c r="D22" s="145">
        <f>'องค์ 5'!J4</f>
        <v>0</v>
      </c>
      <c r="E22" s="148"/>
      <c r="F22" s="96"/>
    </row>
    <row r="23" spans="2:9" x14ac:dyDescent="0.9">
      <c r="B23" s="149"/>
      <c r="C23" s="144" t="s">
        <v>201</v>
      </c>
      <c r="D23" s="145">
        <f>'องค์ 5'!J6</f>
        <v>0</v>
      </c>
      <c r="E23" s="146"/>
    </row>
    <row r="24" spans="2:9" x14ac:dyDescent="0.9">
      <c r="B24" s="147"/>
      <c r="C24" s="144" t="s">
        <v>202</v>
      </c>
      <c r="D24" s="145">
        <f>'องค์ 5'!J8</f>
        <v>0</v>
      </c>
      <c r="E24" s="146"/>
    </row>
    <row r="25" spans="2:9" x14ac:dyDescent="0.9">
      <c r="B25" s="147"/>
      <c r="C25" s="144" t="s">
        <v>203</v>
      </c>
      <c r="D25" s="145" t="e">
        <f>'องค์ 5'!L12</f>
        <v>#DIV/0!</v>
      </c>
      <c r="E25" s="148"/>
      <c r="F25" s="96"/>
    </row>
    <row r="26" spans="2:9" x14ac:dyDescent="0.9">
      <c r="B26" s="253" t="s">
        <v>204</v>
      </c>
      <c r="C26" s="253"/>
      <c r="D26" s="253"/>
      <c r="E26" s="253"/>
      <c r="F26" s="96"/>
    </row>
    <row r="27" spans="2:9" s="78" customFormat="1" x14ac:dyDescent="0.9">
      <c r="B27" s="147"/>
      <c r="C27" s="144" t="s">
        <v>205</v>
      </c>
      <c r="D27" s="145">
        <f>'องค์ 6'!J4</f>
        <v>0</v>
      </c>
      <c r="E27" s="148"/>
      <c r="F27" s="96"/>
      <c r="G27" s="92"/>
      <c r="H27" s="92"/>
      <c r="I27" s="92"/>
    </row>
    <row r="28" spans="2:9" s="78" customFormat="1" x14ac:dyDescent="0.9">
      <c r="B28" s="93"/>
      <c r="C28" s="95"/>
      <c r="D28" s="92"/>
      <c r="E28" s="92"/>
      <c r="F28" s="92"/>
      <c r="G28" s="92"/>
      <c r="H28" s="92"/>
      <c r="I28" s="92"/>
    </row>
    <row r="29" spans="2:9" s="78" customFormat="1" x14ac:dyDescent="0.9">
      <c r="B29" s="93"/>
      <c r="C29" s="95"/>
      <c r="D29" s="92"/>
      <c r="E29" s="92"/>
      <c r="F29" s="92"/>
      <c r="G29" s="92"/>
      <c r="H29" s="92"/>
      <c r="I29" s="92"/>
    </row>
    <row r="30" spans="2:9" s="78" customFormat="1" x14ac:dyDescent="0.9">
      <c r="B30" s="93"/>
      <c r="C30" s="95"/>
      <c r="D30" s="92"/>
      <c r="E30" s="92"/>
      <c r="F30" s="92"/>
      <c r="G30" s="92"/>
      <c r="H30" s="92"/>
      <c r="I30" s="92"/>
    </row>
    <row r="31" spans="2:9" s="78" customFormat="1" x14ac:dyDescent="0.9">
      <c r="B31" s="93"/>
      <c r="C31" s="95"/>
      <c r="D31" s="92"/>
      <c r="E31" s="92"/>
      <c r="F31" s="92"/>
      <c r="G31" s="92"/>
      <c r="H31" s="92"/>
      <c r="I31" s="92"/>
    </row>
    <row r="32" spans="2:9" s="78" customFormat="1" x14ac:dyDescent="0.9">
      <c r="B32" s="93"/>
      <c r="C32" s="95"/>
      <c r="D32" s="92"/>
      <c r="E32" s="92"/>
      <c r="F32" s="92"/>
      <c r="G32" s="92"/>
      <c r="H32" s="92"/>
      <c r="I32" s="92"/>
    </row>
    <row r="33" spans="2:9" s="78" customFormat="1" x14ac:dyDescent="0.9">
      <c r="B33" s="93"/>
      <c r="C33" s="95"/>
      <c r="D33" s="92"/>
      <c r="E33" s="92"/>
      <c r="F33" s="92"/>
      <c r="G33" s="92"/>
      <c r="H33" s="92"/>
      <c r="I33" s="92"/>
    </row>
    <row r="34" spans="2:9" s="78" customFormat="1" x14ac:dyDescent="0.9">
      <c r="B34" s="93"/>
      <c r="C34" s="95"/>
      <c r="D34" s="92"/>
      <c r="E34" s="92"/>
      <c r="F34" s="92"/>
      <c r="G34" s="92"/>
      <c r="H34" s="92"/>
      <c r="I34" s="92"/>
    </row>
    <row r="35" spans="2:9" s="78" customFormat="1" x14ac:dyDescent="0.9">
      <c r="B35" s="93"/>
      <c r="C35" s="95"/>
      <c r="D35" s="92"/>
      <c r="E35" s="92"/>
      <c r="F35" s="92"/>
      <c r="G35" s="92"/>
      <c r="H35" s="92"/>
      <c r="I35" s="92"/>
    </row>
    <row r="36" spans="2:9" s="78" customFormat="1" x14ac:dyDescent="0.9">
      <c r="B36" s="93"/>
      <c r="C36" s="95"/>
      <c r="D36" s="92"/>
      <c r="E36" s="92"/>
      <c r="F36" s="92"/>
      <c r="G36" s="92"/>
      <c r="H36" s="92"/>
      <c r="I36" s="92"/>
    </row>
    <row r="37" spans="2:9" s="78" customFormat="1" x14ac:dyDescent="0.9">
      <c r="B37" s="93"/>
      <c r="C37" s="95"/>
      <c r="D37" s="92"/>
      <c r="E37" s="92"/>
      <c r="F37" s="92"/>
      <c r="G37" s="92"/>
      <c r="H37" s="92"/>
      <c r="I37" s="92"/>
    </row>
    <row r="38" spans="2:9" s="78" customFormat="1" x14ac:dyDescent="0.9">
      <c r="B38" s="93"/>
      <c r="C38" s="95"/>
      <c r="D38" s="92"/>
      <c r="E38" s="92"/>
      <c r="F38" s="92"/>
      <c r="G38" s="92"/>
      <c r="H38" s="92"/>
      <c r="I38" s="92"/>
    </row>
    <row r="39" spans="2:9" s="78" customFormat="1" x14ac:dyDescent="0.9">
      <c r="B39" s="93"/>
      <c r="C39" s="95"/>
      <c r="D39" s="92"/>
      <c r="E39" s="92"/>
      <c r="F39" s="92"/>
      <c r="G39" s="92"/>
      <c r="H39" s="92"/>
      <c r="I39" s="92"/>
    </row>
    <row r="40" spans="2:9" s="78" customFormat="1" x14ac:dyDescent="0.9">
      <c r="B40" s="93"/>
      <c r="C40" s="95"/>
      <c r="D40" s="92"/>
      <c r="E40" s="92"/>
      <c r="F40" s="92"/>
      <c r="G40" s="92"/>
      <c r="H40" s="92"/>
      <c r="I40" s="92"/>
    </row>
    <row r="41" spans="2:9" s="78" customFormat="1" x14ac:dyDescent="0.9">
      <c r="B41" s="93"/>
      <c r="C41" s="95"/>
      <c r="D41" s="92"/>
      <c r="E41" s="92"/>
      <c r="F41" s="92"/>
      <c r="G41" s="92"/>
      <c r="H41" s="92"/>
      <c r="I41" s="92"/>
    </row>
    <row r="42" spans="2:9" s="78" customFormat="1" x14ac:dyDescent="0.9">
      <c r="B42" s="93"/>
      <c r="C42" s="95"/>
      <c r="D42" s="92"/>
      <c r="E42" s="92"/>
      <c r="F42" s="92"/>
      <c r="G42" s="92"/>
      <c r="H42" s="92"/>
      <c r="I42" s="92"/>
    </row>
    <row r="43" spans="2:9" s="78" customFormat="1" x14ac:dyDescent="0.9">
      <c r="B43" s="93"/>
      <c r="C43" s="95"/>
      <c r="D43" s="92"/>
      <c r="E43" s="92"/>
      <c r="F43" s="92"/>
      <c r="G43" s="92"/>
      <c r="H43" s="92"/>
      <c r="I43" s="92"/>
    </row>
    <row r="44" spans="2:9" s="78" customFormat="1" x14ac:dyDescent="0.9">
      <c r="B44" s="93"/>
      <c r="C44" s="95"/>
      <c r="D44" s="92"/>
      <c r="E44" s="92"/>
      <c r="F44" s="92"/>
      <c r="G44" s="92"/>
      <c r="H44" s="92"/>
      <c r="I44" s="92"/>
    </row>
    <row r="45" spans="2:9" s="78" customFormat="1" x14ac:dyDescent="0.9">
      <c r="B45" s="93"/>
      <c r="C45" s="95"/>
      <c r="D45" s="92"/>
      <c r="E45" s="92"/>
      <c r="F45" s="92"/>
      <c r="G45" s="92"/>
      <c r="H45" s="92"/>
      <c r="I45" s="92"/>
    </row>
    <row r="46" spans="2:9" s="78" customFormat="1" x14ac:dyDescent="0.9">
      <c r="B46" s="93"/>
      <c r="C46" s="95"/>
      <c r="D46" s="92"/>
      <c r="E46" s="92"/>
      <c r="F46" s="92"/>
      <c r="G46" s="92"/>
      <c r="H46" s="92"/>
      <c r="I46" s="92"/>
    </row>
    <row r="47" spans="2:9" s="78" customFormat="1" x14ac:dyDescent="0.9">
      <c r="B47" s="93"/>
      <c r="C47" s="95"/>
      <c r="D47" s="92"/>
      <c r="E47" s="92"/>
      <c r="F47" s="92"/>
      <c r="G47" s="92"/>
      <c r="H47" s="92"/>
      <c r="I47" s="92"/>
    </row>
    <row r="48" spans="2:9" s="78" customFormat="1" x14ac:dyDescent="0.9">
      <c r="B48" s="93"/>
      <c r="C48" s="95"/>
      <c r="D48" s="92"/>
      <c r="E48" s="92"/>
      <c r="F48" s="92"/>
      <c r="G48" s="92"/>
      <c r="H48" s="92"/>
      <c r="I48" s="92"/>
    </row>
    <row r="49" spans="2:9" s="78" customFormat="1" x14ac:dyDescent="0.9">
      <c r="B49" s="93"/>
      <c r="C49" s="95"/>
      <c r="D49" s="92"/>
      <c r="E49" s="92"/>
      <c r="F49" s="92"/>
      <c r="G49" s="92"/>
      <c r="H49" s="92"/>
      <c r="I49" s="92"/>
    </row>
    <row r="50" spans="2:9" s="78" customFormat="1" x14ac:dyDescent="0.9">
      <c r="B50" s="93"/>
      <c r="C50" s="95"/>
      <c r="D50" s="92"/>
      <c r="E50" s="92"/>
      <c r="F50" s="92"/>
      <c r="G50" s="92"/>
      <c r="H50" s="92"/>
      <c r="I50" s="92"/>
    </row>
    <row r="51" spans="2:9" s="78" customFormat="1" x14ac:dyDescent="0.9">
      <c r="B51" s="93"/>
      <c r="C51" s="95"/>
      <c r="D51" s="92"/>
      <c r="E51" s="92"/>
      <c r="F51" s="92"/>
      <c r="G51" s="92"/>
      <c r="H51" s="92"/>
      <c r="I51" s="92"/>
    </row>
    <row r="52" spans="2:9" s="78" customFormat="1" x14ac:dyDescent="0.9">
      <c r="B52" s="93"/>
      <c r="C52" s="95"/>
      <c r="D52" s="92"/>
      <c r="E52" s="92"/>
      <c r="F52" s="92"/>
      <c r="G52" s="92"/>
      <c r="H52" s="92"/>
      <c r="I52" s="92"/>
    </row>
    <row r="53" spans="2:9" s="78" customFormat="1" x14ac:dyDescent="0.9">
      <c r="B53" s="93"/>
      <c r="C53" s="95"/>
      <c r="D53" s="92"/>
      <c r="E53" s="92"/>
      <c r="F53" s="92"/>
      <c r="G53" s="92"/>
      <c r="H53" s="92"/>
      <c r="I53" s="92"/>
    </row>
    <row r="54" spans="2:9" s="78" customFormat="1" x14ac:dyDescent="0.9">
      <c r="B54" s="93"/>
      <c r="C54" s="95"/>
      <c r="D54" s="92"/>
      <c r="E54" s="92"/>
      <c r="F54" s="92"/>
      <c r="G54" s="92"/>
      <c r="H54" s="92"/>
      <c r="I54" s="92"/>
    </row>
    <row r="55" spans="2:9" s="78" customFormat="1" x14ac:dyDescent="0.9">
      <c r="B55" s="93"/>
      <c r="C55" s="95"/>
      <c r="D55" s="92"/>
      <c r="E55" s="92"/>
      <c r="F55" s="92"/>
      <c r="G55" s="92"/>
      <c r="H55" s="92"/>
      <c r="I55" s="92"/>
    </row>
    <row r="56" spans="2:9" s="78" customFormat="1" x14ac:dyDescent="0.9">
      <c r="B56" s="93"/>
      <c r="C56" s="95"/>
      <c r="D56" s="92"/>
      <c r="E56" s="92"/>
      <c r="F56" s="92"/>
      <c r="G56" s="92"/>
      <c r="H56" s="92"/>
      <c r="I56" s="92"/>
    </row>
    <row r="57" spans="2:9" s="78" customFormat="1" x14ac:dyDescent="0.9">
      <c r="B57" s="93"/>
      <c r="C57" s="95"/>
      <c r="D57" s="92"/>
      <c r="E57" s="92"/>
      <c r="F57" s="92"/>
      <c r="G57" s="92"/>
      <c r="H57" s="92"/>
      <c r="I57" s="92"/>
    </row>
    <row r="58" spans="2:9" s="78" customFormat="1" x14ac:dyDescent="0.9">
      <c r="B58" s="93"/>
      <c r="C58" s="95"/>
      <c r="D58" s="92"/>
      <c r="E58" s="92"/>
      <c r="F58" s="92"/>
      <c r="G58" s="92"/>
      <c r="H58" s="92"/>
      <c r="I58" s="92"/>
    </row>
    <row r="59" spans="2:9" s="78" customFormat="1" x14ac:dyDescent="0.9">
      <c r="B59" s="93"/>
      <c r="C59" s="95"/>
      <c r="D59" s="92"/>
      <c r="E59" s="92"/>
      <c r="F59" s="92"/>
      <c r="G59" s="92"/>
      <c r="H59" s="92"/>
      <c r="I59" s="92"/>
    </row>
    <row r="60" spans="2:9" s="78" customFormat="1" x14ac:dyDescent="0.9">
      <c r="B60" s="93"/>
      <c r="C60" s="95"/>
      <c r="D60" s="92"/>
      <c r="E60" s="92"/>
      <c r="F60" s="92"/>
      <c r="G60" s="92"/>
      <c r="H60" s="92"/>
      <c r="I60" s="92"/>
    </row>
    <row r="61" spans="2:9" s="78" customFormat="1" x14ac:dyDescent="0.9">
      <c r="B61" s="93"/>
      <c r="C61" s="95"/>
      <c r="D61" s="92"/>
      <c r="E61" s="92"/>
      <c r="F61" s="92"/>
      <c r="G61" s="92"/>
      <c r="H61" s="92"/>
      <c r="I61" s="92"/>
    </row>
    <row r="62" spans="2:9" s="78" customFormat="1" x14ac:dyDescent="0.9">
      <c r="B62" s="93"/>
      <c r="C62" s="95"/>
      <c r="D62" s="92"/>
      <c r="E62" s="92"/>
      <c r="F62" s="92"/>
      <c r="G62" s="92"/>
      <c r="H62" s="92"/>
      <c r="I62" s="92"/>
    </row>
    <row r="63" spans="2:9" s="78" customFormat="1" x14ac:dyDescent="0.9">
      <c r="B63" s="93"/>
      <c r="C63" s="95"/>
      <c r="D63" s="92"/>
      <c r="E63" s="92"/>
      <c r="F63" s="92"/>
      <c r="G63" s="92"/>
      <c r="H63" s="92"/>
      <c r="I63" s="92"/>
    </row>
    <row r="64" spans="2:9" s="78" customFormat="1" x14ac:dyDescent="0.9">
      <c r="B64" s="93"/>
      <c r="C64" s="95"/>
      <c r="D64" s="92"/>
      <c r="E64" s="92"/>
      <c r="F64" s="92"/>
      <c r="G64" s="92"/>
      <c r="H64" s="92"/>
      <c r="I64" s="92"/>
    </row>
    <row r="65" spans="2:9" s="78" customFormat="1" x14ac:dyDescent="0.9">
      <c r="B65" s="93"/>
      <c r="C65" s="95"/>
      <c r="D65" s="92"/>
      <c r="E65" s="92"/>
      <c r="F65" s="92"/>
      <c r="G65" s="92"/>
      <c r="H65" s="92"/>
      <c r="I65" s="92"/>
    </row>
    <row r="66" spans="2:9" s="78" customFormat="1" x14ac:dyDescent="0.9">
      <c r="B66" s="93"/>
      <c r="C66" s="95"/>
      <c r="D66" s="92"/>
      <c r="E66" s="92"/>
      <c r="F66" s="92"/>
      <c r="G66" s="92"/>
      <c r="H66" s="92"/>
      <c r="I66" s="92"/>
    </row>
    <row r="67" spans="2:9" s="78" customFormat="1" x14ac:dyDescent="0.9">
      <c r="B67" s="93"/>
      <c r="C67" s="95"/>
      <c r="D67" s="92"/>
      <c r="E67" s="92"/>
      <c r="F67" s="92"/>
      <c r="G67" s="92"/>
      <c r="H67" s="92"/>
      <c r="I67" s="92"/>
    </row>
    <row r="68" spans="2:9" s="78" customFormat="1" x14ac:dyDescent="0.9">
      <c r="B68" s="93"/>
      <c r="C68" s="95"/>
      <c r="D68" s="92"/>
      <c r="E68" s="92"/>
      <c r="F68" s="92"/>
      <c r="G68" s="92"/>
      <c r="H68" s="92"/>
      <c r="I68" s="92"/>
    </row>
    <row r="69" spans="2:9" s="78" customFormat="1" x14ac:dyDescent="0.9">
      <c r="B69" s="93"/>
      <c r="C69" s="95"/>
      <c r="D69" s="92"/>
      <c r="E69" s="92"/>
      <c r="F69" s="92"/>
      <c r="G69" s="92"/>
      <c r="H69" s="92"/>
      <c r="I69" s="92"/>
    </row>
    <row r="70" spans="2:9" s="78" customFormat="1" x14ac:dyDescent="0.9">
      <c r="B70" s="93"/>
      <c r="C70" s="95"/>
      <c r="D70" s="92"/>
      <c r="E70" s="92"/>
      <c r="F70" s="92"/>
      <c r="G70" s="92"/>
      <c r="H70" s="92"/>
      <c r="I70" s="92"/>
    </row>
    <row r="71" spans="2:9" s="78" customFormat="1" x14ac:dyDescent="0.9">
      <c r="B71" s="93"/>
      <c r="C71" s="95"/>
      <c r="D71" s="92"/>
      <c r="E71" s="92"/>
      <c r="F71" s="92"/>
      <c r="G71" s="92"/>
      <c r="H71" s="92"/>
      <c r="I71" s="92"/>
    </row>
    <row r="72" spans="2:9" s="78" customFormat="1" x14ac:dyDescent="0.9">
      <c r="B72" s="93"/>
      <c r="C72" s="95"/>
      <c r="D72" s="92"/>
      <c r="E72" s="92"/>
      <c r="F72" s="92"/>
      <c r="G72" s="92"/>
      <c r="H72" s="92"/>
      <c r="I72" s="92"/>
    </row>
    <row r="73" spans="2:9" s="78" customFormat="1" x14ac:dyDescent="0.9">
      <c r="B73" s="93"/>
      <c r="C73" s="95"/>
      <c r="D73" s="92"/>
      <c r="E73" s="92"/>
      <c r="F73" s="92"/>
      <c r="G73" s="92"/>
      <c r="H73" s="92"/>
      <c r="I73" s="92"/>
    </row>
    <row r="74" spans="2:9" s="78" customFormat="1" x14ac:dyDescent="0.9">
      <c r="B74" s="93"/>
      <c r="C74" s="95"/>
      <c r="D74" s="92"/>
      <c r="E74" s="92"/>
      <c r="F74" s="92"/>
      <c r="G74" s="92"/>
      <c r="H74" s="92"/>
      <c r="I74" s="92"/>
    </row>
    <row r="75" spans="2:9" s="78" customFormat="1" x14ac:dyDescent="0.9">
      <c r="B75" s="93"/>
      <c r="C75" s="95"/>
      <c r="D75" s="92"/>
      <c r="E75" s="92"/>
      <c r="F75" s="92"/>
      <c r="G75" s="92"/>
      <c r="H75" s="92"/>
      <c r="I75" s="92"/>
    </row>
  </sheetData>
  <sheetProtection algorithmName="SHA-512" hashValue="p4prozWhuKVrMMufSFZMWCTviyvSUSLZChcrX4LQJFouosnm5A/EME6tECWob5WQ8T3ioLkllY0rUQlxLOo7BQ==" saltValue="VYDxgLnDWH2AdGbMxcR9bA==" spinCount="100000" sheet="1" objects="1" scenarios="1" selectLockedCells="1"/>
  <mergeCells count="10">
    <mergeCell ref="B21:E21"/>
    <mergeCell ref="B26:E26"/>
    <mergeCell ref="B4:C4"/>
    <mergeCell ref="B1:E1"/>
    <mergeCell ref="B5:E5"/>
    <mergeCell ref="B7:E7"/>
    <mergeCell ref="B14:E14"/>
    <mergeCell ref="B10:E10"/>
    <mergeCell ref="B2:E2"/>
    <mergeCell ref="B3:E3"/>
  </mergeCells>
  <pageMargins left="0.7" right="0.06" top="0.75" bottom="0.75" header="0.3" footer="0.3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80"/>
  <sheetViews>
    <sheetView showRowColHeaders="0" zoomScale="85" zoomScaleNormal="85" workbookViewId="0">
      <selection activeCell="F3" sqref="F3:H3"/>
    </sheetView>
  </sheetViews>
  <sheetFormatPr defaultColWidth="9" defaultRowHeight="27" x14ac:dyDescent="0.9"/>
  <cols>
    <col min="1" max="1" width="9" style="154"/>
    <col min="2" max="2" width="13.25" style="154" customWidth="1"/>
    <col min="3" max="3" width="16.25" style="166" customWidth="1"/>
    <col min="4" max="4" width="4.9140625" style="154" customWidth="1"/>
    <col min="5" max="5" width="9" style="154"/>
    <col min="6" max="6" width="10.33203125" style="154" customWidth="1"/>
    <col min="7" max="7" width="30.25" style="166" customWidth="1"/>
    <col min="8" max="8" width="7.33203125" style="166" customWidth="1"/>
    <col min="9" max="9" width="4.6640625" style="154" customWidth="1"/>
    <col min="10" max="10" width="10.08203125" style="154" customWidth="1"/>
    <col min="11" max="11" width="9.08203125" style="154" customWidth="1"/>
    <col min="12" max="12" width="3.6640625" style="154" customWidth="1"/>
    <col min="13" max="13" width="4.25" style="154" customWidth="1"/>
    <col min="14" max="15" width="9.08203125" style="154" customWidth="1"/>
    <col min="16" max="16" width="2.75" style="160" customWidth="1"/>
    <col min="17" max="17" width="21.6640625" style="158" customWidth="1"/>
    <col min="18" max="18" width="9.08203125" style="138" customWidth="1"/>
    <col min="19" max="19" width="11.6640625" style="159" bestFit="1" customWidth="1"/>
    <col min="20" max="20" width="9.08203125" style="198" customWidth="1"/>
    <col min="21" max="22" width="10" style="198" customWidth="1"/>
    <col min="23" max="25" width="9.08203125" style="198" customWidth="1"/>
    <col min="26" max="28" width="9" style="166"/>
    <col min="29" max="16384" width="9" style="154"/>
  </cols>
  <sheetData>
    <row r="1" spans="2:28" s="151" customFormat="1" ht="53.5" x14ac:dyDescent="1.75">
      <c r="B1" s="200" t="s">
        <v>209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150"/>
      <c r="S1" s="206" t="s">
        <v>169</v>
      </c>
      <c r="T1" s="206"/>
      <c r="U1" s="196"/>
      <c r="V1" s="196"/>
      <c r="W1" s="196"/>
      <c r="X1" s="196"/>
      <c r="Y1" s="196"/>
      <c r="Z1" s="187"/>
      <c r="AA1" s="187"/>
      <c r="AB1" s="187"/>
    </row>
    <row r="2" spans="2:28" s="151" customFormat="1" x14ac:dyDescent="0.9">
      <c r="C2" s="187"/>
      <c r="G2" s="187"/>
      <c r="H2" s="187"/>
      <c r="P2" s="152"/>
      <c r="Q2" s="153"/>
      <c r="R2" s="150"/>
      <c r="S2" s="196" t="s">
        <v>170</v>
      </c>
      <c r="T2" s="196" t="s">
        <v>171</v>
      </c>
      <c r="U2" s="196" t="s">
        <v>177</v>
      </c>
      <c r="V2" s="196"/>
      <c r="W2" s="196" t="s">
        <v>178</v>
      </c>
      <c r="X2" s="196" t="s">
        <v>179</v>
      </c>
      <c r="Y2" s="196" t="s">
        <v>180</v>
      </c>
      <c r="Z2" s="187"/>
      <c r="AA2" s="187"/>
      <c r="AB2" s="187"/>
    </row>
    <row r="3" spans="2:28" x14ac:dyDescent="0.9">
      <c r="B3" s="151" t="s">
        <v>11</v>
      </c>
      <c r="C3" s="266"/>
      <c r="E3" s="155" t="s">
        <v>9</v>
      </c>
      <c r="F3" s="205" t="s">
        <v>9</v>
      </c>
      <c r="G3" s="205"/>
      <c r="H3" s="205"/>
      <c r="I3" s="156"/>
      <c r="J3" s="155" t="s">
        <v>10</v>
      </c>
      <c r="K3" s="205" t="s">
        <v>10</v>
      </c>
      <c r="L3" s="205"/>
      <c r="M3" s="205"/>
      <c r="N3" s="205"/>
      <c r="O3" s="205"/>
      <c r="P3" s="157"/>
      <c r="S3" s="159">
        <v>2.1</v>
      </c>
      <c r="T3" s="141">
        <f>'องค์ 2'!L5</f>
        <v>0</v>
      </c>
      <c r="V3" s="198" t="s">
        <v>181</v>
      </c>
      <c r="W3" s="141" t="e">
        <f>AVERAGE(T3:T4,T7:T9,T10:T11,T13:T18)</f>
        <v>#DIV/0!</v>
      </c>
      <c r="X3" s="141" t="e">
        <f>AVERAGE(T3,T5,T7:T11,T13:T18)</f>
        <v>#DIV/0!</v>
      </c>
      <c r="Y3" s="141" t="e">
        <f>AVERAGE(T3,T6,T7:T10,T12,T13:T18)</f>
        <v>#DIV/0!</v>
      </c>
    </row>
    <row r="4" spans="2:28" x14ac:dyDescent="0.9">
      <c r="B4" s="151"/>
      <c r="C4" s="188"/>
      <c r="E4" s="155"/>
      <c r="F4" s="157"/>
      <c r="G4" s="188"/>
      <c r="H4" s="188"/>
      <c r="I4" s="203" t="str">
        <f>IF(C3=D21,"กลุ่มสาขาวิชา"," ")</f>
        <v xml:space="preserve"> </v>
      </c>
      <c r="J4" s="203"/>
      <c r="K4" s="202"/>
      <c r="L4" s="202"/>
      <c r="M4" s="202"/>
      <c r="N4" s="202"/>
      <c r="O4" s="202"/>
      <c r="P4" s="157"/>
      <c r="S4" s="159" t="s">
        <v>172</v>
      </c>
      <c r="T4" s="141">
        <f>'องค์ 2'!M8</f>
        <v>0</v>
      </c>
      <c r="U4" s="141">
        <f>AVERAGE(T3:T4)</f>
        <v>0</v>
      </c>
      <c r="V4" s="141" t="s">
        <v>182</v>
      </c>
      <c r="W4" s="141" t="e">
        <f>AVERAGE(T7:T9,T10:T11,T13:T18)</f>
        <v>#DIV/0!</v>
      </c>
      <c r="X4" s="141" t="e">
        <f>AVERAGE(T7:T11,T13:T18)</f>
        <v>#DIV/0!</v>
      </c>
      <c r="Y4" s="141" t="e">
        <f>AVERAGE(T7:T10,T12,T13:T18)</f>
        <v>#DIV/0!</v>
      </c>
    </row>
    <row r="5" spans="2:28" x14ac:dyDescent="0.9">
      <c r="B5" s="204" t="s">
        <v>18</v>
      </c>
      <c r="C5" s="204"/>
      <c r="D5" s="205"/>
      <c r="E5" s="205"/>
      <c r="F5" s="203" t="s">
        <v>20</v>
      </c>
      <c r="G5" s="203"/>
      <c r="H5" s="209"/>
      <c r="I5" s="209"/>
      <c r="J5" s="209"/>
      <c r="S5" s="159" t="s">
        <v>173</v>
      </c>
      <c r="T5" s="141">
        <f>'องค์ 2'!M18</f>
        <v>0</v>
      </c>
      <c r="U5" s="141">
        <f>AVERAGE(T3,T5)</f>
        <v>0</v>
      </c>
      <c r="V5" s="141"/>
    </row>
    <row r="6" spans="2:28" x14ac:dyDescent="0.9">
      <c r="Q6" s="153" t="s">
        <v>60</v>
      </c>
      <c r="S6" s="159" t="s">
        <v>174</v>
      </c>
      <c r="T6" s="141">
        <f>'องค์ 2'!M21</f>
        <v>0</v>
      </c>
      <c r="U6" s="141">
        <f>AVERAGE(T3,T6)</f>
        <v>0</v>
      </c>
      <c r="V6" s="141"/>
    </row>
    <row r="7" spans="2:28" x14ac:dyDescent="0.9">
      <c r="B7" s="204" t="s">
        <v>21</v>
      </c>
      <c r="C7" s="207"/>
      <c r="D7" s="205"/>
      <c r="E7" s="205"/>
      <c r="F7" s="205"/>
      <c r="G7" s="205"/>
      <c r="H7" s="205"/>
      <c r="J7" s="161" t="s">
        <v>59</v>
      </c>
      <c r="K7" s="205"/>
      <c r="L7" s="205"/>
      <c r="M7" s="205"/>
      <c r="N7" s="205"/>
      <c r="O7" s="205"/>
      <c r="P7" s="157"/>
      <c r="Q7" s="162"/>
      <c r="S7" s="159">
        <v>3.1</v>
      </c>
      <c r="T7" s="141">
        <f>'องค์ 3'!J4</f>
        <v>0</v>
      </c>
    </row>
    <row r="8" spans="2:28" x14ac:dyDescent="0.9">
      <c r="B8" s="204" t="s">
        <v>23</v>
      </c>
      <c r="C8" s="204"/>
      <c r="D8" s="202"/>
      <c r="E8" s="202"/>
      <c r="F8" s="202"/>
      <c r="G8" s="202"/>
      <c r="H8" s="202"/>
      <c r="J8" s="161">
        <v>2</v>
      </c>
      <c r="K8" s="202"/>
      <c r="L8" s="202"/>
      <c r="M8" s="202"/>
      <c r="N8" s="202"/>
      <c r="O8" s="202"/>
      <c r="P8" s="157"/>
      <c r="Q8" s="163"/>
      <c r="S8" s="159">
        <v>3.2</v>
      </c>
      <c r="T8" s="141">
        <f>'องค์ 3'!J6</f>
        <v>0</v>
      </c>
    </row>
    <row r="9" spans="2:28" x14ac:dyDescent="0.9">
      <c r="B9" s="204" t="s">
        <v>22</v>
      </c>
      <c r="C9" s="204"/>
      <c r="D9" s="202"/>
      <c r="E9" s="202"/>
      <c r="F9" s="202"/>
      <c r="G9" s="202"/>
      <c r="H9" s="202"/>
      <c r="J9" s="161">
        <v>3</v>
      </c>
      <c r="K9" s="202"/>
      <c r="L9" s="202"/>
      <c r="M9" s="202"/>
      <c r="N9" s="202"/>
      <c r="O9" s="202"/>
      <c r="P9" s="157"/>
      <c r="Q9" s="163"/>
      <c r="S9" s="159">
        <v>3.3</v>
      </c>
      <c r="T9" s="141">
        <f>'องค์ 3'!J8</f>
        <v>0</v>
      </c>
      <c r="U9" s="141">
        <f>AVERAGE(T7:T9)</f>
        <v>0</v>
      </c>
      <c r="V9" s="141"/>
    </row>
    <row r="10" spans="2:28" x14ac:dyDescent="0.9">
      <c r="B10" s="204" t="s">
        <v>24</v>
      </c>
      <c r="C10" s="204"/>
      <c r="D10" s="202"/>
      <c r="E10" s="202"/>
      <c r="F10" s="202"/>
      <c r="G10" s="202"/>
      <c r="H10" s="202"/>
      <c r="J10" s="161">
        <v>4</v>
      </c>
      <c r="K10" s="202"/>
      <c r="L10" s="202"/>
      <c r="M10" s="202"/>
      <c r="N10" s="202"/>
      <c r="O10" s="202"/>
      <c r="P10" s="157"/>
      <c r="Q10" s="163"/>
      <c r="S10" s="159">
        <v>4.0999999999999996</v>
      </c>
      <c r="T10" s="141">
        <f>'องค์ 4'!J4</f>
        <v>0</v>
      </c>
    </row>
    <row r="11" spans="2:28" x14ac:dyDescent="0.9">
      <c r="B11" s="208"/>
      <c r="C11" s="208"/>
      <c r="J11" s="161">
        <v>5</v>
      </c>
      <c r="K11" s="202"/>
      <c r="L11" s="202"/>
      <c r="M11" s="202"/>
      <c r="N11" s="202"/>
      <c r="O11" s="202"/>
      <c r="P11" s="157"/>
      <c r="Q11" s="163"/>
      <c r="R11" s="139"/>
      <c r="S11" s="159" t="s">
        <v>175</v>
      </c>
      <c r="T11" s="141" t="e">
        <f>'องค์ 4'!K6</f>
        <v>#DIV/0!</v>
      </c>
      <c r="U11" s="141" t="e">
        <f>AVERAGE(T10,T11,T13)</f>
        <v>#DIV/0!</v>
      </c>
      <c r="V11" s="141"/>
    </row>
    <row r="12" spans="2:28" x14ac:dyDescent="0.9">
      <c r="B12" s="204"/>
      <c r="C12" s="207"/>
      <c r="D12" s="203"/>
      <c r="E12" s="203"/>
      <c r="F12" s="203"/>
      <c r="G12" s="203"/>
      <c r="H12" s="203"/>
      <c r="J12" s="154">
        <v>6</v>
      </c>
      <c r="K12" s="201"/>
      <c r="L12" s="201"/>
      <c r="M12" s="201"/>
      <c r="N12" s="201"/>
      <c r="O12" s="201"/>
      <c r="P12" s="164"/>
      <c r="Q12" s="163"/>
      <c r="R12" s="139"/>
      <c r="S12" s="159" t="s">
        <v>176</v>
      </c>
      <c r="T12" s="141" t="e">
        <f>'องค์ 4'!K7</f>
        <v>#DIV/0!</v>
      </c>
      <c r="U12" s="141" t="e">
        <f>AVERAGE(T10,T12,T13)</f>
        <v>#DIV/0!</v>
      </c>
      <c r="V12" s="141"/>
    </row>
    <row r="13" spans="2:28" x14ac:dyDescent="0.9">
      <c r="B13" s="204"/>
      <c r="C13" s="204"/>
      <c r="D13" s="203"/>
      <c r="E13" s="203"/>
      <c r="F13" s="203"/>
      <c r="G13" s="203"/>
      <c r="H13" s="203"/>
      <c r="J13" s="154">
        <v>7</v>
      </c>
      <c r="K13" s="201"/>
      <c r="L13" s="201"/>
      <c r="M13" s="201"/>
      <c r="N13" s="201"/>
      <c r="O13" s="201"/>
      <c r="P13" s="164"/>
      <c r="Q13" s="163"/>
      <c r="R13" s="139"/>
      <c r="S13" s="159">
        <v>4.3</v>
      </c>
      <c r="T13" s="141">
        <f>'องค์ 4'!J11</f>
        <v>0</v>
      </c>
    </row>
    <row r="14" spans="2:28" x14ac:dyDescent="0.9">
      <c r="B14" s="204"/>
      <c r="C14" s="204"/>
      <c r="D14" s="203"/>
      <c r="E14" s="203"/>
      <c r="F14" s="203"/>
      <c r="G14" s="203"/>
      <c r="H14" s="203"/>
      <c r="J14" s="154">
        <v>8</v>
      </c>
      <c r="K14" s="201"/>
      <c r="L14" s="201"/>
      <c r="M14" s="201"/>
      <c r="N14" s="201"/>
      <c r="O14" s="201"/>
      <c r="P14" s="164"/>
      <c r="Q14" s="163"/>
      <c r="R14" s="139"/>
      <c r="S14" s="159">
        <v>5.0999999999999996</v>
      </c>
      <c r="T14" s="141">
        <f>'องค์ 5'!J4</f>
        <v>0</v>
      </c>
      <c r="U14" s="141">
        <f>AVERAGE(T14)</f>
        <v>0</v>
      </c>
      <c r="V14" s="141"/>
    </row>
    <row r="15" spans="2:28" x14ac:dyDescent="0.9">
      <c r="B15" s="204"/>
      <c r="C15" s="204"/>
      <c r="D15" s="203"/>
      <c r="E15" s="203"/>
      <c r="F15" s="203"/>
      <c r="G15" s="203"/>
      <c r="H15" s="203"/>
      <c r="J15" s="154">
        <v>9</v>
      </c>
      <c r="K15" s="201"/>
      <c r="L15" s="201"/>
      <c r="M15" s="201"/>
      <c r="N15" s="201"/>
      <c r="O15" s="201"/>
      <c r="P15" s="164"/>
      <c r="Q15" s="163"/>
      <c r="R15" s="139"/>
      <c r="S15" s="159">
        <v>5.2</v>
      </c>
      <c r="T15" s="141">
        <f>'องค์ 5'!J6</f>
        <v>0</v>
      </c>
    </row>
    <row r="16" spans="2:28" x14ac:dyDescent="0.9">
      <c r="J16" s="154">
        <v>10</v>
      </c>
      <c r="K16" s="201"/>
      <c r="L16" s="201"/>
      <c r="M16" s="201"/>
      <c r="N16" s="201"/>
      <c r="O16" s="201"/>
      <c r="P16" s="164"/>
      <c r="Q16" s="163"/>
      <c r="S16" s="159">
        <v>5.3</v>
      </c>
      <c r="T16" s="141">
        <f>'องค์ 5'!J8</f>
        <v>0</v>
      </c>
    </row>
    <row r="17" spans="2:28" s="138" customFormat="1" x14ac:dyDescent="0.9">
      <c r="C17" s="166"/>
      <c r="G17" s="166"/>
      <c r="H17" s="166"/>
      <c r="P17" s="165"/>
      <c r="Q17" s="140"/>
      <c r="S17" s="159">
        <v>5.4</v>
      </c>
      <c r="T17" s="141" t="e">
        <f>'องค์ 5'!L12</f>
        <v>#DIV/0!</v>
      </c>
      <c r="U17" s="141" t="e">
        <f>AVERAGE(T15:T17)</f>
        <v>#DIV/0!</v>
      </c>
      <c r="V17" s="141"/>
      <c r="W17" s="198"/>
      <c r="X17" s="198"/>
      <c r="Y17" s="198"/>
      <c r="Z17" s="166"/>
      <c r="AA17" s="166"/>
      <c r="AB17" s="166"/>
    </row>
    <row r="18" spans="2:28" s="138" customFormat="1" x14ac:dyDescent="0.9">
      <c r="B18" s="165" t="s">
        <v>12</v>
      </c>
      <c r="C18" s="264"/>
      <c r="D18" s="165"/>
      <c r="E18" s="165"/>
      <c r="F18" s="189" t="s">
        <v>27</v>
      </c>
      <c r="G18" s="264"/>
      <c r="H18" s="189" t="s">
        <v>19</v>
      </c>
      <c r="I18" s="165"/>
      <c r="J18" s="165"/>
      <c r="P18" s="165"/>
      <c r="Q18" s="140"/>
      <c r="R18" s="166"/>
      <c r="S18" s="159">
        <v>6.1</v>
      </c>
      <c r="T18" s="141">
        <f>'องค์ 6'!J4</f>
        <v>0</v>
      </c>
      <c r="U18" s="141">
        <f>AVERAGE(T18)</f>
        <v>0</v>
      </c>
      <c r="V18" s="141"/>
      <c r="W18" s="198"/>
      <c r="X18" s="198"/>
      <c r="Y18" s="198"/>
      <c r="Z18" s="166"/>
      <c r="AA18" s="166"/>
      <c r="AB18" s="166"/>
    </row>
    <row r="19" spans="2:28" s="138" customFormat="1" x14ac:dyDescent="0.9">
      <c r="B19" s="189" t="s">
        <v>11</v>
      </c>
      <c r="C19" s="190">
        <v>5</v>
      </c>
      <c r="D19" s="165" t="s">
        <v>13</v>
      </c>
      <c r="E19" s="165"/>
      <c r="F19" s="165">
        <v>1</v>
      </c>
      <c r="G19" s="165"/>
      <c r="H19" s="165" t="s">
        <v>28</v>
      </c>
      <c r="I19" s="165" t="s">
        <v>34</v>
      </c>
      <c r="J19" s="165"/>
      <c r="P19" s="165"/>
      <c r="Q19" s="140"/>
      <c r="R19" s="166"/>
      <c r="S19" s="159"/>
      <c r="T19" s="198"/>
      <c r="U19" s="198"/>
      <c r="V19" s="198"/>
      <c r="W19" s="198"/>
      <c r="X19" s="198"/>
      <c r="Y19" s="198"/>
      <c r="Z19" s="166"/>
      <c r="AA19" s="166"/>
      <c r="AB19" s="166"/>
    </row>
    <row r="20" spans="2:28" s="138" customFormat="1" x14ac:dyDescent="0.9">
      <c r="B20" s="165"/>
      <c r="C20" s="190">
        <v>11</v>
      </c>
      <c r="D20" s="165" t="s">
        <v>14</v>
      </c>
      <c r="E20" s="165"/>
      <c r="F20" s="165">
        <v>0</v>
      </c>
      <c r="G20" s="165"/>
      <c r="H20" s="165" t="s">
        <v>29</v>
      </c>
      <c r="I20" s="165" t="s">
        <v>35</v>
      </c>
      <c r="J20" s="165"/>
      <c r="P20" s="165"/>
      <c r="Q20" s="140"/>
      <c r="R20" s="166"/>
      <c r="S20" s="159"/>
      <c r="T20" s="198"/>
      <c r="U20" s="198"/>
      <c r="V20" s="198"/>
      <c r="W20" s="198"/>
      <c r="X20" s="198"/>
      <c r="Y20" s="198"/>
      <c r="Z20" s="166"/>
      <c r="AA20" s="166"/>
      <c r="AB20" s="166"/>
    </row>
    <row r="21" spans="2:28" s="138" customFormat="1" x14ac:dyDescent="0.9">
      <c r="B21" s="165"/>
      <c r="C21" s="190">
        <v>11</v>
      </c>
      <c r="D21" s="165" t="s">
        <v>15</v>
      </c>
      <c r="E21" s="165"/>
      <c r="F21" s="165"/>
      <c r="G21" s="165"/>
      <c r="H21" s="165"/>
      <c r="I21" s="165"/>
      <c r="J21" s="165"/>
      <c r="P21" s="165"/>
      <c r="Q21" s="140"/>
      <c r="R21" s="166"/>
      <c r="S21" s="159"/>
      <c r="T21" s="198"/>
      <c r="U21" s="198"/>
      <c r="V21" s="198"/>
      <c r="W21" s="198"/>
      <c r="X21" s="198"/>
      <c r="Y21" s="198"/>
      <c r="Z21" s="166"/>
      <c r="AA21" s="166"/>
      <c r="AB21" s="166"/>
    </row>
    <row r="22" spans="2:28" s="138" customFormat="1" x14ac:dyDescent="0.9">
      <c r="B22" s="165"/>
      <c r="C22" s="165"/>
      <c r="D22" s="165"/>
      <c r="E22" s="165"/>
      <c r="F22" s="165"/>
      <c r="G22" s="191" t="s">
        <v>65</v>
      </c>
      <c r="H22" s="165"/>
      <c r="I22" s="165"/>
      <c r="J22" s="165"/>
      <c r="P22" s="165"/>
      <c r="Q22" s="140"/>
      <c r="R22" s="166"/>
      <c r="S22" s="159"/>
      <c r="T22" s="198"/>
      <c r="U22" s="198"/>
      <c r="V22" s="198"/>
      <c r="W22" s="198"/>
      <c r="X22" s="198"/>
      <c r="Y22" s="198"/>
      <c r="Z22" s="166"/>
      <c r="AA22" s="166"/>
      <c r="AB22" s="166"/>
    </row>
    <row r="23" spans="2:28" s="138" customFormat="1" x14ac:dyDescent="0.9">
      <c r="B23" s="189" t="s">
        <v>61</v>
      </c>
      <c r="C23" s="165"/>
      <c r="D23" s="165" t="s">
        <v>62</v>
      </c>
      <c r="E23" s="165"/>
      <c r="F23" s="165"/>
      <c r="G23" s="190">
        <f>COUNTIF(Q7:Q16,D23)</f>
        <v>0</v>
      </c>
      <c r="H23" s="165"/>
      <c r="I23" s="165"/>
      <c r="J23" s="165"/>
      <c r="P23" s="165"/>
      <c r="Q23" s="140"/>
      <c r="R23" s="166"/>
      <c r="S23" s="159"/>
      <c r="T23" s="198"/>
      <c r="U23" s="198"/>
      <c r="V23" s="198"/>
      <c r="W23" s="198"/>
      <c r="X23" s="198"/>
      <c r="Y23" s="198"/>
      <c r="Z23" s="166"/>
      <c r="AA23" s="166"/>
      <c r="AB23" s="166"/>
    </row>
    <row r="24" spans="2:28" s="138" customFormat="1" x14ac:dyDescent="0.9">
      <c r="B24" s="165"/>
      <c r="C24" s="165"/>
      <c r="D24" s="165" t="s">
        <v>63</v>
      </c>
      <c r="E24" s="165"/>
      <c r="F24" s="165"/>
      <c r="G24" s="190">
        <f>COUNTIF(Q7:Q16,D24)</f>
        <v>0</v>
      </c>
      <c r="H24" s="165"/>
      <c r="I24" s="165"/>
      <c r="J24" s="165"/>
      <c r="P24" s="165"/>
      <c r="Q24" s="140"/>
      <c r="R24" s="166"/>
      <c r="S24" s="159"/>
      <c r="T24" s="198"/>
      <c r="U24" s="198"/>
      <c r="V24" s="198"/>
      <c r="W24" s="198"/>
      <c r="X24" s="198"/>
      <c r="Y24" s="198"/>
      <c r="Z24" s="166"/>
      <c r="AA24" s="166"/>
      <c r="AB24" s="166"/>
    </row>
    <row r="25" spans="2:28" s="138" customFormat="1" x14ac:dyDescent="0.9">
      <c r="B25" s="165"/>
      <c r="C25" s="165"/>
      <c r="D25" s="165" t="s">
        <v>64</v>
      </c>
      <c r="E25" s="165"/>
      <c r="F25" s="165"/>
      <c r="G25" s="190">
        <f>COUNTIF(Q7:Q16,D25)</f>
        <v>0</v>
      </c>
      <c r="H25" s="165"/>
      <c r="I25" s="165"/>
      <c r="J25" s="165"/>
      <c r="P25" s="165"/>
      <c r="Q25" s="198"/>
      <c r="S25" s="159"/>
      <c r="T25" s="198"/>
      <c r="U25" s="198"/>
      <c r="V25" s="198"/>
      <c r="W25" s="198"/>
      <c r="X25" s="198"/>
      <c r="Y25" s="198"/>
    </row>
    <row r="26" spans="2:28" s="138" customFormat="1" x14ac:dyDescent="0.9">
      <c r="B26" s="165"/>
      <c r="C26" s="165"/>
      <c r="D26" s="165"/>
      <c r="E26" s="165"/>
      <c r="F26" s="165"/>
      <c r="G26" s="165"/>
      <c r="H26" s="165"/>
      <c r="I26" s="165"/>
      <c r="J26" s="165"/>
      <c r="P26" s="165"/>
      <c r="Q26" s="198"/>
      <c r="S26" s="159"/>
      <c r="T26" s="198"/>
      <c r="U26" s="198"/>
      <c r="V26" s="198"/>
      <c r="W26" s="198"/>
      <c r="X26" s="198"/>
      <c r="Y26" s="198"/>
    </row>
    <row r="27" spans="2:28" s="138" customFormat="1" x14ac:dyDescent="0.9">
      <c r="B27" s="189"/>
      <c r="C27" s="165"/>
      <c r="D27" s="165"/>
      <c r="E27" s="165"/>
      <c r="F27" s="189"/>
      <c r="G27" s="165"/>
      <c r="H27" s="192"/>
      <c r="I27" s="192"/>
      <c r="J27" s="192"/>
      <c r="K27" s="139"/>
      <c r="L27" s="206" t="s">
        <v>72</v>
      </c>
      <c r="M27" s="206"/>
      <c r="N27" s="138" t="s">
        <v>73</v>
      </c>
      <c r="P27" s="165"/>
      <c r="Q27" s="198"/>
      <c r="S27" s="159"/>
      <c r="T27" s="198"/>
      <c r="U27" s="198"/>
      <c r="V27" s="198"/>
      <c r="W27" s="198"/>
      <c r="X27" s="198"/>
      <c r="Y27" s="198"/>
    </row>
    <row r="28" spans="2:28" s="138" customFormat="1" x14ac:dyDescent="0.9">
      <c r="B28" s="165"/>
      <c r="C28" s="165"/>
      <c r="D28" s="165"/>
      <c r="E28" s="165"/>
      <c r="F28" s="165"/>
      <c r="G28" s="165"/>
      <c r="H28" s="165"/>
      <c r="I28" s="165"/>
      <c r="J28" s="165"/>
      <c r="N28" s="138" t="s">
        <v>74</v>
      </c>
      <c r="P28" s="165"/>
      <c r="Q28" s="198"/>
      <c r="S28" s="159"/>
      <c r="T28" s="198"/>
      <c r="U28" s="198"/>
      <c r="V28" s="198"/>
      <c r="W28" s="198"/>
      <c r="X28" s="198"/>
      <c r="Y28" s="198"/>
    </row>
    <row r="29" spans="2:28" s="138" customFormat="1" x14ac:dyDescent="0.9">
      <c r="B29" s="165"/>
      <c r="C29" s="165"/>
      <c r="D29" s="165"/>
      <c r="E29" s="165"/>
      <c r="F29" s="165"/>
      <c r="G29" s="165"/>
      <c r="H29" s="165"/>
      <c r="I29" s="165"/>
      <c r="J29" s="165"/>
      <c r="N29" s="138" t="s">
        <v>75</v>
      </c>
      <c r="P29" s="165"/>
      <c r="Q29" s="198"/>
      <c r="S29" s="159"/>
      <c r="T29" s="198"/>
      <c r="U29" s="198"/>
      <c r="V29" s="198"/>
      <c r="W29" s="198"/>
      <c r="X29" s="198"/>
      <c r="Y29" s="198"/>
    </row>
    <row r="30" spans="2:28" s="138" customFormat="1" x14ac:dyDescent="0.9">
      <c r="B30" s="165"/>
      <c r="C30" s="165"/>
      <c r="D30" s="165"/>
      <c r="E30" s="165"/>
      <c r="F30" s="165"/>
      <c r="G30" s="165"/>
      <c r="H30" s="165"/>
      <c r="I30" s="165"/>
      <c r="J30" s="165"/>
      <c r="P30" s="165"/>
      <c r="Q30" s="198"/>
      <c r="S30" s="159"/>
      <c r="T30" s="198"/>
      <c r="U30" s="198"/>
      <c r="V30" s="198"/>
      <c r="W30" s="198"/>
      <c r="X30" s="198"/>
      <c r="Y30" s="198"/>
    </row>
    <row r="31" spans="2:28" s="166" customFormat="1" x14ac:dyDescent="0.9">
      <c r="B31" s="264"/>
      <c r="C31" s="264"/>
      <c r="D31" s="264"/>
      <c r="E31" s="264"/>
      <c r="F31" s="264"/>
      <c r="G31" s="264"/>
      <c r="H31" s="264"/>
      <c r="I31" s="264"/>
      <c r="J31" s="264"/>
      <c r="P31" s="264"/>
      <c r="Q31" s="262"/>
      <c r="S31" s="159"/>
      <c r="T31" s="198"/>
      <c r="U31" s="198"/>
      <c r="V31" s="198"/>
      <c r="W31" s="198"/>
      <c r="X31" s="198"/>
      <c r="Y31" s="198"/>
    </row>
    <row r="32" spans="2:28" s="166" customFormat="1" x14ac:dyDescent="0.9">
      <c r="B32" s="264"/>
      <c r="C32" s="264"/>
      <c r="D32" s="264"/>
      <c r="E32" s="264"/>
      <c r="F32" s="264"/>
      <c r="G32" s="264"/>
      <c r="H32" s="264"/>
      <c r="I32" s="264"/>
      <c r="J32" s="264"/>
      <c r="P32" s="264"/>
      <c r="Q32" s="262"/>
      <c r="S32" s="159"/>
      <c r="T32" s="198"/>
      <c r="U32" s="198"/>
      <c r="V32" s="198"/>
      <c r="W32" s="198"/>
      <c r="X32" s="198"/>
      <c r="Y32" s="198"/>
    </row>
    <row r="33" spans="2:25" s="166" customFormat="1" x14ac:dyDescent="0.9">
      <c r="B33" s="264"/>
      <c r="C33" s="264"/>
      <c r="D33" s="264"/>
      <c r="E33" s="264"/>
      <c r="F33" s="264"/>
      <c r="G33" s="264"/>
      <c r="H33" s="264"/>
      <c r="I33" s="264"/>
      <c r="J33" s="264"/>
      <c r="P33" s="264"/>
      <c r="Q33" s="262"/>
      <c r="S33" s="159"/>
      <c r="T33" s="198"/>
      <c r="U33" s="198"/>
      <c r="V33" s="198"/>
      <c r="W33" s="198"/>
      <c r="X33" s="198"/>
      <c r="Y33" s="198"/>
    </row>
    <row r="34" spans="2:25" s="166" customFormat="1" x14ac:dyDescent="0.9">
      <c r="B34" s="264"/>
      <c r="C34" s="264"/>
      <c r="D34" s="264"/>
      <c r="E34" s="264"/>
      <c r="F34" s="264"/>
      <c r="G34" s="264"/>
      <c r="H34" s="264"/>
      <c r="I34" s="264"/>
      <c r="J34" s="264"/>
      <c r="P34" s="264"/>
      <c r="Q34" s="262"/>
      <c r="S34" s="159"/>
      <c r="T34" s="198"/>
      <c r="U34" s="198"/>
      <c r="V34" s="198"/>
      <c r="W34" s="198"/>
      <c r="X34" s="198"/>
      <c r="Y34" s="198"/>
    </row>
    <row r="35" spans="2:25" s="166" customFormat="1" x14ac:dyDescent="0.9">
      <c r="B35" s="264"/>
      <c r="C35" s="264"/>
      <c r="D35" s="264"/>
      <c r="E35" s="264"/>
      <c r="F35" s="264"/>
      <c r="G35" s="264"/>
      <c r="H35" s="264"/>
      <c r="I35" s="264"/>
      <c r="J35" s="264"/>
      <c r="P35" s="264"/>
      <c r="Q35" s="262"/>
      <c r="S35" s="159"/>
      <c r="T35" s="198"/>
      <c r="U35" s="198"/>
      <c r="V35" s="198"/>
      <c r="W35" s="198"/>
      <c r="X35" s="198"/>
      <c r="Y35" s="198"/>
    </row>
    <row r="36" spans="2:25" s="166" customFormat="1" x14ac:dyDescent="0.9">
      <c r="B36" s="264"/>
      <c r="C36" s="264"/>
      <c r="D36" s="264"/>
      <c r="E36" s="264"/>
      <c r="F36" s="264"/>
      <c r="G36" s="264"/>
      <c r="H36" s="264"/>
      <c r="I36" s="264"/>
      <c r="J36" s="264"/>
      <c r="P36" s="264"/>
      <c r="Q36" s="262"/>
      <c r="S36" s="159"/>
      <c r="T36" s="198"/>
      <c r="U36" s="198"/>
      <c r="V36" s="198"/>
      <c r="W36" s="198"/>
      <c r="X36" s="198"/>
      <c r="Y36" s="198"/>
    </row>
    <row r="37" spans="2:25" s="166" customFormat="1" x14ac:dyDescent="0.9">
      <c r="B37" s="264"/>
      <c r="C37" s="264"/>
      <c r="D37" s="264"/>
      <c r="E37" s="264"/>
      <c r="F37" s="264"/>
      <c r="G37" s="264"/>
      <c r="H37" s="264"/>
      <c r="I37" s="264"/>
      <c r="J37" s="264"/>
      <c r="P37" s="264"/>
      <c r="Q37" s="262"/>
      <c r="S37" s="159"/>
      <c r="T37" s="198"/>
      <c r="U37" s="198"/>
      <c r="V37" s="198"/>
      <c r="W37" s="198"/>
      <c r="X37" s="198"/>
      <c r="Y37" s="198"/>
    </row>
    <row r="38" spans="2:25" s="166" customFormat="1" x14ac:dyDescent="0.9">
      <c r="B38" s="264"/>
      <c r="C38" s="264"/>
      <c r="D38" s="264"/>
      <c r="E38" s="264"/>
      <c r="F38" s="264"/>
      <c r="G38" s="264"/>
      <c r="H38" s="264"/>
      <c r="I38" s="264"/>
      <c r="J38" s="264"/>
      <c r="P38" s="264"/>
      <c r="Q38" s="262"/>
      <c r="S38" s="159"/>
      <c r="T38" s="198"/>
      <c r="U38" s="198"/>
      <c r="V38" s="198"/>
      <c r="W38" s="198"/>
      <c r="X38" s="198"/>
      <c r="Y38" s="198"/>
    </row>
    <row r="39" spans="2:25" s="166" customFormat="1" x14ac:dyDescent="0.9">
      <c r="B39" s="264"/>
      <c r="C39" s="264"/>
      <c r="D39" s="264"/>
      <c r="E39" s="264"/>
      <c r="F39" s="264"/>
      <c r="G39" s="264"/>
      <c r="H39" s="264"/>
      <c r="I39" s="264"/>
      <c r="J39" s="264"/>
      <c r="P39" s="264"/>
      <c r="Q39" s="262"/>
      <c r="S39" s="159"/>
      <c r="T39" s="198"/>
      <c r="U39" s="198"/>
      <c r="V39" s="198"/>
      <c r="W39" s="198"/>
      <c r="X39" s="198"/>
      <c r="Y39" s="198"/>
    </row>
    <row r="40" spans="2:25" s="166" customFormat="1" x14ac:dyDescent="0.9">
      <c r="B40" s="264"/>
      <c r="C40" s="264"/>
      <c r="D40" s="264"/>
      <c r="E40" s="264"/>
      <c r="F40" s="264"/>
      <c r="G40" s="264"/>
      <c r="H40" s="264"/>
      <c r="I40" s="264"/>
      <c r="J40" s="264"/>
      <c r="P40" s="264"/>
      <c r="Q40" s="262"/>
      <c r="S40" s="159"/>
      <c r="T40" s="198"/>
      <c r="U40" s="198"/>
      <c r="V40" s="198"/>
      <c r="W40" s="198"/>
      <c r="X40" s="198"/>
      <c r="Y40" s="198"/>
    </row>
    <row r="41" spans="2:25" s="166" customFormat="1" x14ac:dyDescent="0.9">
      <c r="B41" s="264"/>
      <c r="C41" s="264"/>
      <c r="D41" s="264"/>
      <c r="E41" s="264"/>
      <c r="F41" s="264"/>
      <c r="G41" s="264"/>
      <c r="H41" s="264"/>
      <c r="I41" s="264"/>
      <c r="J41" s="264"/>
      <c r="P41" s="264"/>
      <c r="Q41" s="262"/>
      <c r="S41" s="159"/>
      <c r="T41" s="198"/>
      <c r="U41" s="198"/>
      <c r="V41" s="198"/>
      <c r="W41" s="198"/>
      <c r="X41" s="198"/>
      <c r="Y41" s="198"/>
    </row>
    <row r="42" spans="2:25" s="166" customFormat="1" x14ac:dyDescent="0.9">
      <c r="B42" s="264"/>
      <c r="C42" s="264"/>
      <c r="D42" s="264"/>
      <c r="E42" s="264"/>
      <c r="F42" s="264"/>
      <c r="G42" s="264"/>
      <c r="H42" s="264"/>
      <c r="I42" s="264"/>
      <c r="J42" s="264"/>
      <c r="P42" s="264"/>
      <c r="Q42" s="262"/>
      <c r="S42" s="159"/>
      <c r="T42" s="198"/>
      <c r="U42" s="198"/>
      <c r="V42" s="198"/>
      <c r="W42" s="198"/>
      <c r="X42" s="198"/>
      <c r="Y42" s="198"/>
    </row>
    <row r="43" spans="2:25" s="166" customFormat="1" x14ac:dyDescent="0.9">
      <c r="B43" s="264"/>
      <c r="C43" s="264"/>
      <c r="D43" s="264"/>
      <c r="E43" s="264"/>
      <c r="F43" s="264"/>
      <c r="G43" s="264"/>
      <c r="H43" s="264"/>
      <c r="I43" s="264"/>
      <c r="J43" s="264"/>
      <c r="P43" s="264"/>
      <c r="Q43" s="262"/>
      <c r="S43" s="159"/>
      <c r="T43" s="198"/>
      <c r="U43" s="198"/>
      <c r="V43" s="198"/>
      <c r="W43" s="198"/>
      <c r="X43" s="198"/>
      <c r="Y43" s="198"/>
    </row>
    <row r="44" spans="2:25" s="166" customFormat="1" x14ac:dyDescent="0.9">
      <c r="B44" s="264"/>
      <c r="C44" s="264"/>
      <c r="D44" s="264"/>
      <c r="E44" s="264"/>
      <c r="F44" s="264"/>
      <c r="G44" s="264"/>
      <c r="H44" s="264"/>
      <c r="I44" s="264"/>
      <c r="J44" s="264"/>
      <c r="P44" s="264"/>
      <c r="Q44" s="262"/>
      <c r="S44" s="159"/>
      <c r="T44" s="198"/>
      <c r="U44" s="198"/>
      <c r="V44" s="198"/>
      <c r="W44" s="198"/>
      <c r="X44" s="198"/>
      <c r="Y44" s="198"/>
    </row>
    <row r="45" spans="2:25" s="166" customFormat="1" x14ac:dyDescent="0.9">
      <c r="B45" s="264"/>
      <c r="C45" s="264"/>
      <c r="D45" s="264"/>
      <c r="E45" s="264"/>
      <c r="F45" s="264"/>
      <c r="G45" s="264"/>
      <c r="H45" s="264"/>
      <c r="I45" s="264"/>
      <c r="J45" s="264"/>
      <c r="P45" s="264"/>
      <c r="Q45" s="262"/>
      <c r="S45" s="159"/>
      <c r="T45" s="198"/>
      <c r="U45" s="198"/>
      <c r="V45" s="198"/>
      <c r="W45" s="198"/>
      <c r="X45" s="198"/>
      <c r="Y45" s="198"/>
    </row>
    <row r="46" spans="2:25" s="166" customFormat="1" x14ac:dyDescent="0.9">
      <c r="B46" s="264"/>
      <c r="C46" s="264"/>
      <c r="D46" s="264"/>
      <c r="E46" s="264"/>
      <c r="F46" s="264"/>
      <c r="G46" s="264"/>
      <c r="H46" s="264"/>
      <c r="I46" s="264"/>
      <c r="J46" s="264"/>
      <c r="P46" s="264"/>
      <c r="Q46" s="262"/>
      <c r="S46" s="159"/>
      <c r="T46" s="198"/>
      <c r="U46" s="198"/>
      <c r="V46" s="198"/>
      <c r="W46" s="198"/>
      <c r="X46" s="198"/>
      <c r="Y46" s="198"/>
    </row>
    <row r="47" spans="2:25" s="166" customFormat="1" x14ac:dyDescent="0.9">
      <c r="B47" s="264"/>
      <c r="C47" s="264"/>
      <c r="D47" s="264"/>
      <c r="E47" s="264"/>
      <c r="F47" s="264"/>
      <c r="G47" s="264"/>
      <c r="H47" s="264"/>
      <c r="I47" s="264"/>
      <c r="J47" s="264"/>
      <c r="P47" s="264"/>
      <c r="Q47" s="262"/>
      <c r="S47" s="159"/>
      <c r="T47" s="198"/>
      <c r="U47" s="198"/>
      <c r="V47" s="198"/>
      <c r="W47" s="198"/>
      <c r="X47" s="198"/>
      <c r="Y47" s="198"/>
    </row>
    <row r="48" spans="2:25" s="166" customFormat="1" x14ac:dyDescent="0.9">
      <c r="B48" s="264"/>
      <c r="C48" s="264"/>
      <c r="D48" s="264"/>
      <c r="E48" s="264"/>
      <c r="F48" s="264"/>
      <c r="G48" s="264"/>
      <c r="H48" s="264"/>
      <c r="I48" s="264"/>
      <c r="J48" s="264"/>
      <c r="P48" s="264"/>
      <c r="Q48" s="262"/>
      <c r="S48" s="159"/>
      <c r="T48" s="198"/>
      <c r="U48" s="198"/>
      <c r="V48" s="198"/>
      <c r="W48" s="198"/>
      <c r="X48" s="198"/>
      <c r="Y48" s="198"/>
    </row>
    <row r="49" spans="2:25" s="166" customFormat="1" x14ac:dyDescent="0.9">
      <c r="B49" s="264"/>
      <c r="C49" s="264"/>
      <c r="D49" s="264"/>
      <c r="E49" s="264"/>
      <c r="F49" s="264"/>
      <c r="G49" s="264"/>
      <c r="H49" s="264"/>
      <c r="I49" s="264"/>
      <c r="J49" s="264"/>
      <c r="P49" s="264"/>
      <c r="Q49" s="262"/>
      <c r="S49" s="159"/>
      <c r="T49" s="198"/>
      <c r="U49" s="198"/>
      <c r="V49" s="198"/>
      <c r="W49" s="198"/>
      <c r="X49" s="198"/>
      <c r="Y49" s="198"/>
    </row>
    <row r="50" spans="2:25" s="166" customFormat="1" x14ac:dyDescent="0.9">
      <c r="B50" s="264"/>
      <c r="C50" s="264"/>
      <c r="D50" s="264"/>
      <c r="E50" s="264"/>
      <c r="F50" s="264"/>
      <c r="G50" s="264"/>
      <c r="H50" s="264"/>
      <c r="I50" s="264"/>
      <c r="J50" s="264"/>
      <c r="P50" s="264"/>
      <c r="Q50" s="262"/>
      <c r="S50" s="159"/>
      <c r="T50" s="198"/>
      <c r="U50" s="198"/>
      <c r="V50" s="198"/>
      <c r="W50" s="198"/>
      <c r="X50" s="198"/>
      <c r="Y50" s="198"/>
    </row>
    <row r="51" spans="2:25" s="166" customFormat="1" x14ac:dyDescent="0.9">
      <c r="B51" s="264"/>
      <c r="C51" s="264"/>
      <c r="D51" s="264"/>
      <c r="E51" s="264"/>
      <c r="F51" s="264"/>
      <c r="G51" s="264"/>
      <c r="H51" s="264"/>
      <c r="I51" s="264"/>
      <c r="J51" s="264"/>
      <c r="P51" s="264"/>
      <c r="Q51" s="262"/>
      <c r="S51" s="159"/>
      <c r="T51" s="198"/>
      <c r="U51" s="198"/>
      <c r="V51" s="198"/>
      <c r="W51" s="198"/>
      <c r="X51" s="198"/>
      <c r="Y51" s="198"/>
    </row>
    <row r="52" spans="2:25" s="166" customFormat="1" x14ac:dyDescent="0.9">
      <c r="B52" s="264"/>
      <c r="C52" s="264"/>
      <c r="D52" s="264"/>
      <c r="E52" s="264"/>
      <c r="F52" s="264"/>
      <c r="G52" s="265"/>
      <c r="H52" s="264"/>
      <c r="I52" s="264"/>
      <c r="J52" s="264"/>
      <c r="P52" s="264"/>
      <c r="Q52" s="262"/>
      <c r="S52" s="159"/>
      <c r="T52" s="198"/>
      <c r="U52" s="198"/>
      <c r="V52" s="198"/>
      <c r="W52" s="198"/>
      <c r="X52" s="198"/>
      <c r="Y52" s="198"/>
    </row>
    <row r="53" spans="2:25" s="166" customFormat="1" x14ac:dyDescent="0.9">
      <c r="B53" s="264"/>
      <c r="C53" s="264"/>
      <c r="D53" s="264"/>
      <c r="E53" s="264"/>
      <c r="F53" s="264"/>
      <c r="G53" s="264"/>
      <c r="H53" s="264"/>
      <c r="I53" s="264"/>
      <c r="J53" s="264"/>
      <c r="P53" s="264"/>
      <c r="Q53" s="262"/>
      <c r="S53" s="159"/>
      <c r="T53" s="198"/>
      <c r="U53" s="198"/>
      <c r="V53" s="198"/>
      <c r="W53" s="198"/>
      <c r="X53" s="198"/>
      <c r="Y53" s="198"/>
    </row>
    <row r="54" spans="2:25" s="166" customFormat="1" x14ac:dyDescent="0.9">
      <c r="B54" s="264"/>
      <c r="C54" s="264"/>
      <c r="D54" s="264"/>
      <c r="E54" s="264"/>
      <c r="F54" s="264"/>
      <c r="G54" s="264"/>
      <c r="H54" s="264"/>
      <c r="I54" s="264"/>
      <c r="J54" s="264"/>
      <c r="P54" s="264"/>
      <c r="Q54" s="262"/>
      <c r="S54" s="159"/>
      <c r="T54" s="198"/>
      <c r="U54" s="198"/>
      <c r="V54" s="198"/>
      <c r="W54" s="198"/>
      <c r="X54" s="198"/>
      <c r="Y54" s="198"/>
    </row>
    <row r="55" spans="2:25" s="166" customFormat="1" x14ac:dyDescent="0.9">
      <c r="B55" s="264"/>
      <c r="C55" s="264"/>
      <c r="D55" s="264"/>
      <c r="E55" s="264"/>
      <c r="F55" s="264"/>
      <c r="G55" s="264"/>
      <c r="H55" s="264"/>
      <c r="I55" s="264"/>
      <c r="J55" s="264"/>
      <c r="P55" s="264"/>
      <c r="Q55" s="262"/>
      <c r="S55" s="159"/>
      <c r="T55" s="198"/>
      <c r="U55" s="198"/>
      <c r="V55" s="198"/>
      <c r="W55" s="198"/>
      <c r="X55" s="198"/>
      <c r="Y55" s="198"/>
    </row>
    <row r="56" spans="2:25" s="166" customFormat="1" x14ac:dyDescent="0.9">
      <c r="B56" s="264"/>
      <c r="C56" s="264"/>
      <c r="D56" s="264"/>
      <c r="E56" s="264"/>
      <c r="F56" s="264"/>
      <c r="G56" s="264"/>
      <c r="H56" s="264"/>
      <c r="I56" s="264"/>
      <c r="J56" s="264"/>
      <c r="P56" s="264"/>
      <c r="Q56" s="262"/>
      <c r="S56" s="159"/>
      <c r="T56" s="198"/>
      <c r="U56" s="198"/>
      <c r="V56" s="198"/>
      <c r="W56" s="198"/>
      <c r="X56" s="198"/>
      <c r="Y56" s="198"/>
    </row>
    <row r="57" spans="2:25" s="166" customFormat="1" x14ac:dyDescent="0.9">
      <c r="B57" s="264"/>
      <c r="C57" s="264"/>
      <c r="D57" s="264"/>
      <c r="E57" s="264"/>
      <c r="F57" s="264"/>
      <c r="G57" s="264"/>
      <c r="H57" s="264"/>
      <c r="I57" s="264"/>
      <c r="J57" s="264"/>
      <c r="P57" s="264"/>
      <c r="Q57" s="262"/>
      <c r="S57" s="159"/>
      <c r="T57" s="198"/>
      <c r="U57" s="198"/>
      <c r="V57" s="198"/>
      <c r="W57" s="198"/>
      <c r="X57" s="198"/>
      <c r="Y57" s="198"/>
    </row>
    <row r="58" spans="2:25" s="166" customFormat="1" x14ac:dyDescent="0.9">
      <c r="B58" s="264"/>
      <c r="C58" s="264"/>
      <c r="D58" s="264"/>
      <c r="E58" s="264"/>
      <c r="F58" s="264"/>
      <c r="G58" s="264"/>
      <c r="H58" s="264"/>
      <c r="I58" s="264"/>
      <c r="J58" s="264"/>
      <c r="P58" s="264"/>
      <c r="Q58" s="262"/>
      <c r="S58" s="159"/>
      <c r="T58" s="198"/>
      <c r="U58" s="198"/>
      <c r="V58" s="198"/>
      <c r="W58" s="198"/>
      <c r="X58" s="198"/>
      <c r="Y58" s="198"/>
    </row>
    <row r="59" spans="2:25" s="166" customFormat="1" x14ac:dyDescent="0.9">
      <c r="B59" s="264"/>
      <c r="C59" s="264"/>
      <c r="D59" s="264"/>
      <c r="E59" s="264"/>
      <c r="F59" s="264"/>
      <c r="G59" s="264"/>
      <c r="H59" s="264"/>
      <c r="I59" s="264"/>
      <c r="J59" s="264"/>
      <c r="P59" s="264"/>
      <c r="Q59" s="262"/>
      <c r="S59" s="159"/>
      <c r="T59" s="198"/>
      <c r="U59" s="198"/>
      <c r="V59" s="198"/>
      <c r="W59" s="198"/>
      <c r="X59" s="198"/>
      <c r="Y59" s="198"/>
    </row>
    <row r="60" spans="2:25" s="166" customFormat="1" x14ac:dyDescent="0.9">
      <c r="B60" s="264"/>
      <c r="C60" s="264"/>
      <c r="D60" s="264"/>
      <c r="E60" s="264"/>
      <c r="F60" s="264"/>
      <c r="G60" s="264"/>
      <c r="H60" s="264"/>
      <c r="I60" s="264"/>
      <c r="J60" s="264"/>
      <c r="P60" s="264"/>
      <c r="Q60" s="262"/>
      <c r="S60" s="159"/>
      <c r="T60" s="198"/>
      <c r="U60" s="198"/>
      <c r="V60" s="198"/>
      <c r="W60" s="198"/>
      <c r="X60" s="198"/>
      <c r="Y60" s="198"/>
    </row>
    <row r="61" spans="2:25" s="166" customFormat="1" x14ac:dyDescent="0.9">
      <c r="B61" s="264"/>
      <c r="C61" s="264"/>
      <c r="D61" s="264"/>
      <c r="E61" s="264"/>
      <c r="F61" s="264"/>
      <c r="G61" s="264"/>
      <c r="H61" s="264"/>
      <c r="I61" s="264"/>
      <c r="J61" s="264"/>
      <c r="P61" s="264"/>
      <c r="Q61" s="262"/>
      <c r="S61" s="159"/>
      <c r="T61" s="198"/>
      <c r="U61" s="198"/>
      <c r="V61" s="198"/>
      <c r="W61" s="198"/>
      <c r="X61" s="198"/>
      <c r="Y61" s="198"/>
    </row>
    <row r="62" spans="2:25" s="166" customFormat="1" x14ac:dyDescent="0.9">
      <c r="B62" s="264"/>
      <c r="C62" s="264"/>
      <c r="D62" s="264"/>
      <c r="E62" s="264"/>
      <c r="F62" s="264"/>
      <c r="G62" s="264"/>
      <c r="H62" s="264"/>
      <c r="I62" s="264"/>
      <c r="J62" s="264"/>
      <c r="P62" s="264"/>
      <c r="Q62" s="262"/>
      <c r="S62" s="159"/>
      <c r="T62" s="198"/>
      <c r="U62" s="198"/>
      <c r="V62" s="198"/>
      <c r="W62" s="198"/>
      <c r="X62" s="198"/>
      <c r="Y62" s="198"/>
    </row>
    <row r="63" spans="2:25" s="166" customFormat="1" x14ac:dyDescent="0.9">
      <c r="B63" s="264"/>
      <c r="C63" s="264"/>
      <c r="D63" s="264"/>
      <c r="E63" s="264"/>
      <c r="F63" s="264"/>
      <c r="G63" s="264"/>
      <c r="H63" s="264"/>
      <c r="I63" s="264"/>
      <c r="J63" s="264"/>
      <c r="P63" s="264"/>
      <c r="Q63" s="262"/>
      <c r="S63" s="159"/>
      <c r="T63" s="198"/>
      <c r="U63" s="198"/>
      <c r="V63" s="198"/>
      <c r="W63" s="198"/>
      <c r="X63" s="198"/>
      <c r="Y63" s="198"/>
    </row>
    <row r="64" spans="2:25" s="166" customFormat="1" x14ac:dyDescent="0.9">
      <c r="B64" s="264"/>
      <c r="C64" s="264"/>
      <c r="D64" s="264"/>
      <c r="E64" s="264"/>
      <c r="F64" s="264"/>
      <c r="G64" s="264"/>
      <c r="H64" s="264"/>
      <c r="I64" s="264"/>
      <c r="J64" s="264"/>
      <c r="P64" s="264"/>
      <c r="Q64" s="262"/>
      <c r="S64" s="159"/>
      <c r="T64" s="198"/>
      <c r="U64" s="198"/>
      <c r="V64" s="198"/>
      <c r="W64" s="198"/>
      <c r="X64" s="198"/>
      <c r="Y64" s="198"/>
    </row>
    <row r="65" spans="2:25" s="166" customFormat="1" x14ac:dyDescent="0.9">
      <c r="B65" s="264"/>
      <c r="C65" s="264"/>
      <c r="D65" s="264"/>
      <c r="E65" s="264"/>
      <c r="F65" s="264"/>
      <c r="G65" s="264"/>
      <c r="H65" s="264"/>
      <c r="I65" s="264"/>
      <c r="J65" s="264"/>
      <c r="P65" s="264"/>
      <c r="Q65" s="262"/>
      <c r="S65" s="159"/>
      <c r="T65" s="198"/>
      <c r="U65" s="198"/>
      <c r="V65" s="198"/>
      <c r="W65" s="198"/>
      <c r="X65" s="198"/>
      <c r="Y65" s="198"/>
    </row>
    <row r="66" spans="2:25" s="166" customFormat="1" x14ac:dyDescent="0.9">
      <c r="B66" s="264"/>
      <c r="C66" s="264"/>
      <c r="D66" s="264"/>
      <c r="E66" s="264"/>
      <c r="F66" s="264"/>
      <c r="G66" s="264"/>
      <c r="H66" s="264"/>
      <c r="I66" s="264"/>
      <c r="J66" s="264"/>
      <c r="P66" s="264"/>
      <c r="Q66" s="262"/>
      <c r="S66" s="159"/>
      <c r="T66" s="198"/>
      <c r="U66" s="198"/>
      <c r="V66" s="198"/>
      <c r="W66" s="198"/>
      <c r="X66" s="198"/>
      <c r="Y66" s="198"/>
    </row>
    <row r="67" spans="2:25" s="166" customFormat="1" x14ac:dyDescent="0.9">
      <c r="B67" s="264"/>
      <c r="C67" s="264"/>
      <c r="D67" s="264"/>
      <c r="E67" s="264"/>
      <c r="F67" s="264"/>
      <c r="G67" s="264"/>
      <c r="H67" s="264"/>
      <c r="I67" s="264"/>
      <c r="J67" s="264"/>
      <c r="P67" s="264"/>
      <c r="Q67" s="262"/>
      <c r="S67" s="159"/>
      <c r="T67" s="198"/>
      <c r="U67" s="198"/>
      <c r="V67" s="198"/>
      <c r="W67" s="198"/>
      <c r="X67" s="198"/>
      <c r="Y67" s="198"/>
    </row>
    <row r="68" spans="2:25" s="166" customFormat="1" x14ac:dyDescent="0.9">
      <c r="B68" s="264"/>
      <c r="C68" s="264"/>
      <c r="D68" s="264"/>
      <c r="E68" s="264"/>
      <c r="F68" s="264"/>
      <c r="G68" s="264"/>
      <c r="H68" s="264"/>
      <c r="I68" s="264"/>
      <c r="J68" s="264"/>
      <c r="P68" s="264"/>
      <c r="Q68" s="262"/>
      <c r="S68" s="159"/>
      <c r="T68" s="198"/>
      <c r="U68" s="198"/>
      <c r="V68" s="198"/>
      <c r="W68" s="198"/>
      <c r="X68" s="198"/>
      <c r="Y68" s="198"/>
    </row>
    <row r="69" spans="2:25" s="166" customFormat="1" x14ac:dyDescent="0.9">
      <c r="B69" s="264"/>
      <c r="C69" s="264"/>
      <c r="D69" s="264"/>
      <c r="E69" s="264"/>
      <c r="F69" s="264"/>
      <c r="G69" s="264"/>
      <c r="H69" s="264"/>
      <c r="I69" s="264"/>
      <c r="J69" s="264"/>
      <c r="P69" s="264"/>
      <c r="Q69" s="262"/>
      <c r="S69" s="159"/>
      <c r="T69" s="198"/>
      <c r="U69" s="198"/>
      <c r="V69" s="198"/>
      <c r="W69" s="198"/>
      <c r="X69" s="198"/>
      <c r="Y69" s="198"/>
    </row>
    <row r="70" spans="2:25" s="166" customFormat="1" x14ac:dyDescent="0.9">
      <c r="B70" s="264"/>
      <c r="C70" s="264"/>
      <c r="D70" s="264"/>
      <c r="E70" s="264"/>
      <c r="F70" s="264"/>
      <c r="G70" s="264"/>
      <c r="H70" s="264"/>
      <c r="I70" s="264"/>
      <c r="J70" s="264"/>
      <c r="P70" s="264"/>
      <c r="Q70" s="262"/>
      <c r="S70" s="159"/>
      <c r="T70" s="198"/>
      <c r="U70" s="198"/>
      <c r="V70" s="198"/>
      <c r="W70" s="198"/>
      <c r="X70" s="198"/>
      <c r="Y70" s="198"/>
    </row>
    <row r="71" spans="2:25" s="166" customFormat="1" x14ac:dyDescent="0.9">
      <c r="B71" s="264"/>
      <c r="C71" s="264"/>
      <c r="D71" s="264"/>
      <c r="E71" s="264"/>
      <c r="F71" s="264"/>
      <c r="G71" s="264"/>
      <c r="H71" s="264"/>
      <c r="I71" s="264"/>
      <c r="J71" s="264"/>
      <c r="P71" s="264"/>
      <c r="Q71" s="262"/>
      <c r="S71" s="159"/>
      <c r="T71" s="198"/>
      <c r="U71" s="198"/>
      <c r="V71" s="198"/>
      <c r="W71" s="198"/>
      <c r="X71" s="198"/>
      <c r="Y71" s="198"/>
    </row>
    <row r="72" spans="2:25" s="166" customFormat="1" x14ac:dyDescent="0.9">
      <c r="B72" s="264"/>
      <c r="C72" s="264"/>
      <c r="D72" s="264"/>
      <c r="E72" s="264"/>
      <c r="F72" s="264"/>
      <c r="G72" s="264"/>
      <c r="H72" s="264"/>
      <c r="I72" s="264"/>
      <c r="J72" s="264"/>
      <c r="P72" s="264"/>
      <c r="Q72" s="262"/>
      <c r="S72" s="159"/>
      <c r="T72" s="198"/>
      <c r="U72" s="198"/>
      <c r="V72" s="198"/>
      <c r="W72" s="198"/>
      <c r="X72" s="198"/>
      <c r="Y72" s="198"/>
    </row>
    <row r="73" spans="2:25" s="166" customFormat="1" x14ac:dyDescent="0.9">
      <c r="B73" s="264"/>
      <c r="C73" s="264"/>
      <c r="D73" s="264"/>
      <c r="E73" s="264"/>
      <c r="F73" s="264"/>
      <c r="G73" s="264"/>
      <c r="H73" s="264"/>
      <c r="I73" s="264"/>
      <c r="J73" s="264"/>
      <c r="P73" s="264"/>
      <c r="Q73" s="262"/>
      <c r="S73" s="159"/>
      <c r="T73" s="198"/>
      <c r="U73" s="198"/>
      <c r="V73" s="198"/>
      <c r="W73" s="198"/>
      <c r="X73" s="198"/>
      <c r="Y73" s="198"/>
    </row>
    <row r="74" spans="2:25" s="166" customFormat="1" x14ac:dyDescent="0.9">
      <c r="B74" s="264"/>
      <c r="C74" s="264"/>
      <c r="D74" s="264"/>
      <c r="E74" s="264"/>
      <c r="F74" s="264"/>
      <c r="G74" s="264"/>
      <c r="H74" s="264"/>
      <c r="I74" s="264"/>
      <c r="J74" s="264"/>
      <c r="P74" s="264"/>
      <c r="Q74" s="262"/>
      <c r="S74" s="159"/>
      <c r="T74" s="198"/>
      <c r="U74" s="198"/>
      <c r="V74" s="198"/>
      <c r="W74" s="198"/>
      <c r="X74" s="198"/>
      <c r="Y74" s="198"/>
    </row>
    <row r="75" spans="2:25" s="166" customFormat="1" x14ac:dyDescent="0.9">
      <c r="B75" s="264"/>
      <c r="C75" s="264"/>
      <c r="D75" s="264"/>
      <c r="E75" s="264"/>
      <c r="F75" s="264"/>
      <c r="G75" s="264"/>
      <c r="H75" s="264"/>
      <c r="I75" s="264"/>
      <c r="J75" s="264"/>
      <c r="P75" s="264"/>
      <c r="Q75" s="262"/>
      <c r="S75" s="159"/>
      <c r="T75" s="198"/>
      <c r="U75" s="198"/>
      <c r="V75" s="198"/>
      <c r="W75" s="198"/>
      <c r="X75" s="198"/>
      <c r="Y75" s="198"/>
    </row>
    <row r="76" spans="2:25" s="166" customFormat="1" x14ac:dyDescent="0.9">
      <c r="B76" s="264"/>
      <c r="C76" s="264"/>
      <c r="D76" s="264"/>
      <c r="E76" s="264"/>
      <c r="F76" s="264"/>
      <c r="G76" s="264"/>
      <c r="H76" s="264"/>
      <c r="I76" s="264"/>
      <c r="J76" s="264"/>
      <c r="P76" s="264"/>
      <c r="Q76" s="262"/>
      <c r="S76" s="159"/>
      <c r="T76" s="198"/>
      <c r="U76" s="198"/>
      <c r="V76" s="198"/>
      <c r="W76" s="198"/>
      <c r="X76" s="198"/>
      <c r="Y76" s="198"/>
    </row>
    <row r="77" spans="2:25" s="166" customFormat="1" x14ac:dyDescent="0.9">
      <c r="P77" s="264"/>
      <c r="Q77" s="262"/>
      <c r="S77" s="159"/>
      <c r="T77" s="198"/>
      <c r="U77" s="198"/>
      <c r="V77" s="198"/>
      <c r="W77" s="198"/>
      <c r="X77" s="198"/>
      <c r="Y77" s="198"/>
    </row>
    <row r="78" spans="2:25" x14ac:dyDescent="0.9">
      <c r="B78" s="166"/>
      <c r="D78" s="166"/>
      <c r="E78" s="166"/>
      <c r="F78" s="166"/>
      <c r="I78" s="166"/>
      <c r="J78" s="166"/>
    </row>
    <row r="79" spans="2:25" x14ac:dyDescent="0.9">
      <c r="B79" s="166"/>
      <c r="D79" s="166"/>
      <c r="E79" s="166"/>
      <c r="F79" s="166"/>
      <c r="I79" s="166"/>
      <c r="J79" s="166"/>
    </row>
    <row r="80" spans="2:25" x14ac:dyDescent="0.9">
      <c r="B80" s="166"/>
      <c r="D80" s="166"/>
      <c r="E80" s="166"/>
      <c r="F80" s="166"/>
      <c r="I80" s="166"/>
      <c r="J80" s="166"/>
    </row>
  </sheetData>
  <sheetProtection algorithmName="SHA-512" hashValue="fJCCK+U9BZXeP4Wp5ci+BWia30mOGVFRPZgnZsdNJps3S/BzZYCHOhgsA1BjzriLvzF0f4sb/WAtJmniUPDsjg==" saltValue="NGudYcyN8mzI1LU45FDSog==" spinCount="100000" sheet="1" selectLockedCells="1"/>
  <sortState xmlns:xlrd2="http://schemas.microsoft.com/office/spreadsheetml/2017/richdata2" ref="C27:C35">
    <sortCondition ref="C27"/>
  </sortState>
  <mergeCells count="38">
    <mergeCell ref="D9:H9"/>
    <mergeCell ref="S1:T1"/>
    <mergeCell ref="B12:C12"/>
    <mergeCell ref="B11:C11"/>
    <mergeCell ref="F3:H3"/>
    <mergeCell ref="K3:O3"/>
    <mergeCell ref="B5:C5"/>
    <mergeCell ref="K7:O7"/>
    <mergeCell ref="K8:O8"/>
    <mergeCell ref="K9:O9"/>
    <mergeCell ref="B10:C10"/>
    <mergeCell ref="D10:H10"/>
    <mergeCell ref="D5:E5"/>
    <mergeCell ref="F5:G5"/>
    <mergeCell ref="H5:J5"/>
    <mergeCell ref="B7:C7"/>
    <mergeCell ref="L27:M27"/>
    <mergeCell ref="K10:O10"/>
    <mergeCell ref="K11:O11"/>
    <mergeCell ref="K12:O12"/>
    <mergeCell ref="K13:O13"/>
    <mergeCell ref="K14:O14"/>
    <mergeCell ref="B1:Q1"/>
    <mergeCell ref="K15:O15"/>
    <mergeCell ref="K16:O16"/>
    <mergeCell ref="K4:O4"/>
    <mergeCell ref="I4:J4"/>
    <mergeCell ref="B15:C15"/>
    <mergeCell ref="D12:H12"/>
    <mergeCell ref="D13:H13"/>
    <mergeCell ref="D14:H14"/>
    <mergeCell ref="D15:H15"/>
    <mergeCell ref="B13:C13"/>
    <mergeCell ref="B14:C14"/>
    <mergeCell ref="D7:H7"/>
    <mergeCell ref="B8:C8"/>
    <mergeCell ref="D8:H8"/>
    <mergeCell ref="B9:C9"/>
  </mergeCells>
  <dataValidations count="3">
    <dataValidation type="list" allowBlank="1" showInputMessage="1" showErrorMessage="1" sqref="C3" xr:uid="{00000000-0002-0000-0100-000000000000}">
      <formula1>$D$19:$D$21</formula1>
    </dataValidation>
    <dataValidation type="list" allowBlank="1" showInputMessage="1" showErrorMessage="1" sqref="Q7:Q16" xr:uid="{00000000-0002-0000-0100-000001000000}">
      <formula1>$D$23:$D$25</formula1>
    </dataValidation>
    <dataValidation type="list" allowBlank="1" showInputMessage="1" showErrorMessage="1" promptTitle="เงื่อนไข" prompt="เลือกกลุ่มสาขาวิชา สำหรับหลักสูตรปริญญาเอก" sqref="K4:O4" xr:uid="{00000000-0002-0000-0100-000002000000}">
      <formula1>$N$27:$N$29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DataAdd!$C$1:$C$40</xm:f>
          </x14:formula1>
          <xm:sqref>K3:O3</xm:sqref>
        </x14:dataValidation>
        <x14:dataValidation type="list" allowBlank="1" showInputMessage="1" showErrorMessage="1" xr:uid="{00000000-0002-0000-0100-000004000000}">
          <x14:formula1>
            <xm:f>DataAdd!$A$1:$A$11</xm:f>
          </x14:formula1>
          <xm:sqref>F3:H3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4FA2-AFA3-4BA0-86EF-E8563AEFCE5F}">
  <dimension ref="A1:C93"/>
  <sheetViews>
    <sheetView showRowColHeaders="0" workbookViewId="0">
      <pane ySplit="1" topLeftCell="A2" activePane="bottomLeft" state="frozen"/>
      <selection pane="bottomLeft"/>
    </sheetView>
  </sheetViews>
  <sheetFormatPr defaultRowHeight="24" x14ac:dyDescent="0.8"/>
  <cols>
    <col min="1" max="1" width="25.25" style="267" customWidth="1"/>
    <col min="2" max="2" width="4.25" style="267" customWidth="1"/>
    <col min="3" max="3" width="29.9140625" style="267" customWidth="1"/>
    <col min="4" max="16384" width="8.6640625" style="267"/>
  </cols>
  <sheetData>
    <row r="1" spans="1:3" x14ac:dyDescent="0.8">
      <c r="A1" s="269" t="s">
        <v>9</v>
      </c>
      <c r="B1" s="7"/>
      <c r="C1" s="268" t="s">
        <v>10</v>
      </c>
    </row>
    <row r="2" spans="1:3" x14ac:dyDescent="0.8">
      <c r="A2" s="270" t="s">
        <v>100</v>
      </c>
      <c r="C2" s="270" t="s">
        <v>126</v>
      </c>
    </row>
    <row r="3" spans="1:3" x14ac:dyDescent="0.8">
      <c r="A3" s="270" t="s">
        <v>210</v>
      </c>
      <c r="C3" s="270" t="s">
        <v>133</v>
      </c>
    </row>
    <row r="4" spans="1:3" x14ac:dyDescent="0.8">
      <c r="A4" s="270" t="s">
        <v>131</v>
      </c>
      <c r="C4" s="270" t="s">
        <v>135</v>
      </c>
    </row>
    <row r="5" spans="1:3" x14ac:dyDescent="0.8">
      <c r="A5" s="270" t="s">
        <v>132</v>
      </c>
      <c r="C5" s="270" t="s">
        <v>141</v>
      </c>
    </row>
    <row r="6" spans="1:3" x14ac:dyDescent="0.8">
      <c r="A6" s="270" t="s">
        <v>130</v>
      </c>
      <c r="C6" s="270" t="s">
        <v>139</v>
      </c>
    </row>
    <row r="7" spans="1:3" x14ac:dyDescent="0.8">
      <c r="A7" s="270" t="s">
        <v>128</v>
      </c>
      <c r="C7" s="270" t="s">
        <v>134</v>
      </c>
    </row>
    <row r="8" spans="1:3" x14ac:dyDescent="0.8">
      <c r="A8" s="270" t="s">
        <v>99</v>
      </c>
      <c r="C8" s="270" t="s">
        <v>124</v>
      </c>
    </row>
    <row r="9" spans="1:3" x14ac:dyDescent="0.8">
      <c r="A9" s="270" t="s">
        <v>17</v>
      </c>
      <c r="C9" s="270" t="s">
        <v>136</v>
      </c>
    </row>
    <row r="10" spans="1:3" x14ac:dyDescent="0.8">
      <c r="A10" s="270" t="s">
        <v>16</v>
      </c>
      <c r="C10" s="270" t="s">
        <v>143</v>
      </c>
    </row>
    <row r="11" spans="1:3" x14ac:dyDescent="0.8">
      <c r="A11" s="270" t="s">
        <v>98</v>
      </c>
      <c r="C11" s="270" t="s">
        <v>142</v>
      </c>
    </row>
    <row r="12" spans="1:3" x14ac:dyDescent="0.8">
      <c r="A12" s="270" t="s">
        <v>214</v>
      </c>
      <c r="C12" s="270" t="s">
        <v>111</v>
      </c>
    </row>
    <row r="13" spans="1:3" x14ac:dyDescent="0.8">
      <c r="A13" s="270"/>
      <c r="C13" s="270" t="s">
        <v>119</v>
      </c>
    </row>
    <row r="14" spans="1:3" x14ac:dyDescent="0.8">
      <c r="A14" s="270"/>
      <c r="C14" s="270" t="s">
        <v>137</v>
      </c>
    </row>
    <row r="15" spans="1:3" x14ac:dyDescent="0.8">
      <c r="A15" s="270"/>
      <c r="C15" s="270" t="s">
        <v>108</v>
      </c>
    </row>
    <row r="16" spans="1:3" x14ac:dyDescent="0.8">
      <c r="A16" s="270"/>
      <c r="C16" s="270" t="s">
        <v>122</v>
      </c>
    </row>
    <row r="17" spans="1:3" x14ac:dyDescent="0.8">
      <c r="A17" s="270"/>
      <c r="C17" s="270" t="s">
        <v>120</v>
      </c>
    </row>
    <row r="18" spans="1:3" x14ac:dyDescent="0.8">
      <c r="A18" s="270"/>
      <c r="C18" s="270" t="s">
        <v>113</v>
      </c>
    </row>
    <row r="19" spans="1:3" x14ac:dyDescent="0.8">
      <c r="A19" s="270"/>
      <c r="C19" s="270" t="s">
        <v>114</v>
      </c>
    </row>
    <row r="20" spans="1:3" x14ac:dyDescent="0.8">
      <c r="A20" s="270"/>
      <c r="C20" s="270" t="s">
        <v>123</v>
      </c>
    </row>
    <row r="21" spans="1:3" x14ac:dyDescent="0.8">
      <c r="A21" s="270"/>
      <c r="C21" s="270" t="s">
        <v>125</v>
      </c>
    </row>
    <row r="22" spans="1:3" x14ac:dyDescent="0.8">
      <c r="A22" s="270"/>
      <c r="C22" s="270" t="s">
        <v>138</v>
      </c>
    </row>
    <row r="23" spans="1:3" x14ac:dyDescent="0.8">
      <c r="A23" s="270"/>
      <c r="C23" s="270" t="s">
        <v>106</v>
      </c>
    </row>
    <row r="24" spans="1:3" x14ac:dyDescent="0.8">
      <c r="A24" s="270"/>
      <c r="C24" s="270" t="s">
        <v>107</v>
      </c>
    </row>
    <row r="25" spans="1:3" x14ac:dyDescent="0.8">
      <c r="A25" s="270"/>
      <c r="C25" s="270" t="s">
        <v>129</v>
      </c>
    </row>
    <row r="26" spans="1:3" x14ac:dyDescent="0.8">
      <c r="A26" s="270"/>
      <c r="C26" s="270" t="s">
        <v>112</v>
      </c>
    </row>
    <row r="27" spans="1:3" x14ac:dyDescent="0.8">
      <c r="A27" s="270"/>
      <c r="C27" s="270" t="s">
        <v>101</v>
      </c>
    </row>
    <row r="28" spans="1:3" x14ac:dyDescent="0.8">
      <c r="A28" s="270"/>
      <c r="C28" s="270" t="s">
        <v>102</v>
      </c>
    </row>
    <row r="29" spans="1:3" x14ac:dyDescent="0.8">
      <c r="A29" s="270"/>
      <c r="C29" s="270" t="s">
        <v>103</v>
      </c>
    </row>
    <row r="30" spans="1:3" x14ac:dyDescent="0.8">
      <c r="A30" s="270"/>
      <c r="C30" s="270" t="s">
        <v>104</v>
      </c>
    </row>
    <row r="31" spans="1:3" x14ac:dyDescent="0.8">
      <c r="A31" s="270"/>
      <c r="C31" s="270" t="s">
        <v>121</v>
      </c>
    </row>
    <row r="32" spans="1:3" x14ac:dyDescent="0.8">
      <c r="A32" s="270"/>
      <c r="C32" s="270" t="s">
        <v>105</v>
      </c>
    </row>
    <row r="33" spans="1:3" x14ac:dyDescent="0.8">
      <c r="A33" s="270"/>
      <c r="C33" s="270" t="s">
        <v>110</v>
      </c>
    </row>
    <row r="34" spans="1:3" x14ac:dyDescent="0.8">
      <c r="A34" s="270"/>
      <c r="C34" s="270" t="s">
        <v>140</v>
      </c>
    </row>
    <row r="35" spans="1:3" x14ac:dyDescent="0.8">
      <c r="A35" s="270"/>
      <c r="C35" s="270" t="s">
        <v>115</v>
      </c>
    </row>
    <row r="36" spans="1:3" x14ac:dyDescent="0.8">
      <c r="A36" s="270"/>
      <c r="C36" s="270" t="s">
        <v>116</v>
      </c>
    </row>
    <row r="37" spans="1:3" x14ac:dyDescent="0.8">
      <c r="A37" s="270"/>
      <c r="C37" s="270" t="s">
        <v>109</v>
      </c>
    </row>
    <row r="38" spans="1:3" x14ac:dyDescent="0.8">
      <c r="A38" s="270"/>
      <c r="C38" s="270" t="s">
        <v>118</v>
      </c>
    </row>
    <row r="39" spans="1:3" x14ac:dyDescent="0.8">
      <c r="A39" s="270"/>
      <c r="C39" s="270" t="s">
        <v>127</v>
      </c>
    </row>
    <row r="40" spans="1:3" x14ac:dyDescent="0.8">
      <c r="A40" s="270"/>
      <c r="C40" s="270" t="s">
        <v>117</v>
      </c>
    </row>
    <row r="41" spans="1:3" x14ac:dyDescent="0.8">
      <c r="C41" s="270"/>
    </row>
    <row r="42" spans="1:3" x14ac:dyDescent="0.8">
      <c r="C42" s="270"/>
    </row>
    <row r="43" spans="1:3" x14ac:dyDescent="0.8">
      <c r="C43" s="270"/>
    </row>
    <row r="44" spans="1:3" x14ac:dyDescent="0.8">
      <c r="C44" s="270"/>
    </row>
    <row r="45" spans="1:3" x14ac:dyDescent="0.8">
      <c r="C45" s="270"/>
    </row>
    <row r="46" spans="1:3" x14ac:dyDescent="0.8">
      <c r="C46" s="270"/>
    </row>
    <row r="47" spans="1:3" x14ac:dyDescent="0.8">
      <c r="C47" s="270"/>
    </row>
    <row r="48" spans="1:3" x14ac:dyDescent="0.8">
      <c r="C48" s="270"/>
    </row>
    <row r="49" spans="3:3" x14ac:dyDescent="0.8">
      <c r="C49" s="270"/>
    </row>
    <row r="50" spans="3:3" x14ac:dyDescent="0.8">
      <c r="C50" s="270"/>
    </row>
    <row r="51" spans="3:3" x14ac:dyDescent="0.8">
      <c r="C51" s="270"/>
    </row>
    <row r="52" spans="3:3" x14ac:dyDescent="0.8">
      <c r="C52" s="270"/>
    </row>
    <row r="53" spans="3:3" x14ac:dyDescent="0.8">
      <c r="C53" s="270"/>
    </row>
    <row r="54" spans="3:3" x14ac:dyDescent="0.8">
      <c r="C54" s="270"/>
    </row>
    <row r="55" spans="3:3" x14ac:dyDescent="0.8">
      <c r="C55" s="270"/>
    </row>
    <row r="56" spans="3:3" x14ac:dyDescent="0.8">
      <c r="C56" s="270"/>
    </row>
    <row r="57" spans="3:3" x14ac:dyDescent="0.8">
      <c r="C57" s="270"/>
    </row>
    <row r="58" spans="3:3" x14ac:dyDescent="0.8">
      <c r="C58" s="270"/>
    </row>
    <row r="59" spans="3:3" x14ac:dyDescent="0.8">
      <c r="C59" s="270"/>
    </row>
    <row r="60" spans="3:3" x14ac:dyDescent="0.8">
      <c r="C60" s="270"/>
    </row>
    <row r="61" spans="3:3" x14ac:dyDescent="0.8">
      <c r="C61" s="270"/>
    </row>
    <row r="62" spans="3:3" x14ac:dyDescent="0.8">
      <c r="C62" s="270"/>
    </row>
    <row r="63" spans="3:3" x14ac:dyDescent="0.8">
      <c r="C63" s="270"/>
    </row>
    <row r="64" spans="3:3" x14ac:dyDescent="0.8">
      <c r="C64" s="270"/>
    </row>
    <row r="65" spans="3:3" x14ac:dyDescent="0.8">
      <c r="C65" s="270"/>
    </row>
    <row r="66" spans="3:3" x14ac:dyDescent="0.8">
      <c r="C66" s="270"/>
    </row>
    <row r="67" spans="3:3" x14ac:dyDescent="0.8">
      <c r="C67" s="270"/>
    </row>
    <row r="68" spans="3:3" x14ac:dyDescent="0.8">
      <c r="C68" s="270"/>
    </row>
    <row r="69" spans="3:3" x14ac:dyDescent="0.8">
      <c r="C69" s="270"/>
    </row>
    <row r="70" spans="3:3" x14ac:dyDescent="0.8">
      <c r="C70" s="270"/>
    </row>
    <row r="71" spans="3:3" x14ac:dyDescent="0.8">
      <c r="C71" s="270"/>
    </row>
    <row r="72" spans="3:3" x14ac:dyDescent="0.8">
      <c r="C72" s="270"/>
    </row>
    <row r="73" spans="3:3" x14ac:dyDescent="0.8">
      <c r="C73" s="270"/>
    </row>
    <row r="74" spans="3:3" x14ac:dyDescent="0.8">
      <c r="C74" s="270"/>
    </row>
    <row r="75" spans="3:3" x14ac:dyDescent="0.8">
      <c r="C75" s="270"/>
    </row>
    <row r="76" spans="3:3" x14ac:dyDescent="0.8">
      <c r="C76" s="270"/>
    </row>
    <row r="77" spans="3:3" x14ac:dyDescent="0.8">
      <c r="C77" s="270"/>
    </row>
    <row r="78" spans="3:3" x14ac:dyDescent="0.8">
      <c r="C78" s="270"/>
    </row>
    <row r="79" spans="3:3" x14ac:dyDescent="0.8">
      <c r="C79" s="270"/>
    </row>
    <row r="80" spans="3:3" x14ac:dyDescent="0.8">
      <c r="C80" s="270"/>
    </row>
    <row r="81" spans="3:3" x14ac:dyDescent="0.8">
      <c r="C81" s="270"/>
    </row>
    <row r="82" spans="3:3" x14ac:dyDescent="0.8">
      <c r="C82" s="270"/>
    </row>
    <row r="83" spans="3:3" x14ac:dyDescent="0.8">
      <c r="C83" s="270"/>
    </row>
    <row r="84" spans="3:3" x14ac:dyDescent="0.8">
      <c r="C84" s="270"/>
    </row>
    <row r="85" spans="3:3" x14ac:dyDescent="0.8">
      <c r="C85" s="270"/>
    </row>
    <row r="86" spans="3:3" x14ac:dyDescent="0.8">
      <c r="C86" s="270"/>
    </row>
    <row r="87" spans="3:3" x14ac:dyDescent="0.8">
      <c r="C87" s="270"/>
    </row>
    <row r="88" spans="3:3" x14ac:dyDescent="0.8">
      <c r="C88" s="270"/>
    </row>
    <row r="89" spans="3:3" x14ac:dyDescent="0.8">
      <c r="C89" s="270"/>
    </row>
    <row r="90" spans="3:3" x14ac:dyDescent="0.8">
      <c r="C90" s="270"/>
    </row>
    <row r="91" spans="3:3" x14ac:dyDescent="0.8">
      <c r="C91" s="270"/>
    </row>
    <row r="92" spans="3:3" x14ac:dyDescent="0.8">
      <c r="C92" s="270"/>
    </row>
    <row r="93" spans="3:3" x14ac:dyDescent="0.8">
      <c r="C93" s="270"/>
    </row>
  </sheetData>
  <sheetProtection sort="0" autoFilter="0"/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L45"/>
  <sheetViews>
    <sheetView showRowColHeaders="0" zoomScaleNormal="100" workbookViewId="0">
      <selection activeCell="J3" sqref="J3"/>
    </sheetView>
  </sheetViews>
  <sheetFormatPr defaultColWidth="8.25" defaultRowHeight="25.5" x14ac:dyDescent="0.85"/>
  <cols>
    <col min="1" max="1" width="8.25" style="17"/>
    <col min="2" max="2" width="6" style="19" customWidth="1"/>
    <col min="3" max="3" width="8.25" style="17"/>
    <col min="4" max="4" width="2.6640625" style="17" customWidth="1"/>
    <col min="5" max="5" width="4" style="19" customWidth="1"/>
    <col min="6" max="8" width="8.25" style="17"/>
    <col min="9" max="9" width="45.33203125" style="17" customWidth="1"/>
    <col min="10" max="10" width="22.33203125" style="17" customWidth="1"/>
    <col min="11" max="11" width="8.25" style="17"/>
    <col min="12" max="12" width="0" style="18" hidden="1" customWidth="1"/>
    <col min="13" max="16384" width="8.25" style="17"/>
  </cols>
  <sheetData>
    <row r="1" spans="2:12" s="5" customFormat="1" ht="30" x14ac:dyDescent="1">
      <c r="B1" s="210" t="s">
        <v>25</v>
      </c>
      <c r="C1" s="210"/>
      <c r="D1" s="210"/>
      <c r="E1" s="210"/>
      <c r="F1" s="210"/>
      <c r="G1" s="210"/>
      <c r="H1" s="210"/>
      <c r="I1" s="210"/>
      <c r="J1" s="210"/>
      <c r="L1" s="12"/>
    </row>
    <row r="2" spans="2:12" s="5" customFormat="1" ht="30" x14ac:dyDescent="1">
      <c r="B2" s="13" t="s">
        <v>30</v>
      </c>
      <c r="C2" s="13"/>
      <c r="D2" s="13"/>
      <c r="E2" s="14"/>
      <c r="F2" s="13"/>
      <c r="G2" s="13"/>
      <c r="H2" s="13"/>
      <c r="I2" s="13"/>
      <c r="J2" s="14" t="s">
        <v>19</v>
      </c>
      <c r="L2" s="12"/>
    </row>
    <row r="3" spans="2:12" x14ac:dyDescent="0.85">
      <c r="B3" s="16">
        <f>IF(DataSet!C3=DataSet!D19,DataSet!F19,DataSet!F19)</f>
        <v>1</v>
      </c>
      <c r="C3" s="212" t="s">
        <v>26</v>
      </c>
      <c r="D3" s="212"/>
      <c r="E3" s="212"/>
      <c r="F3" s="212"/>
      <c r="G3" s="212"/>
      <c r="H3" s="212"/>
      <c r="I3" s="212"/>
      <c r="J3" s="20"/>
    </row>
    <row r="4" spans="2:12" x14ac:dyDescent="0.85">
      <c r="B4" s="16">
        <f>IF(DataSet!C3=DataSet!D19,DataSet!F19,DataSet!F19)</f>
        <v>1</v>
      </c>
      <c r="C4" s="212" t="s">
        <v>45</v>
      </c>
      <c r="D4" s="212"/>
      <c r="E4" s="212"/>
      <c r="F4" s="212"/>
      <c r="G4" s="212"/>
      <c r="H4" s="212"/>
      <c r="I4" s="212"/>
      <c r="J4" s="20"/>
    </row>
    <row r="5" spans="2:12" x14ac:dyDescent="0.85">
      <c r="B5" s="16">
        <f>IF(DataSet!C3=DataSet!D19,DataSet!F19,DataSet!F19)</f>
        <v>1</v>
      </c>
      <c r="C5" s="211" t="s">
        <v>44</v>
      </c>
      <c r="D5" s="211"/>
      <c r="E5" s="211"/>
      <c r="F5" s="211"/>
      <c r="G5" s="211"/>
      <c r="H5" s="211"/>
      <c r="I5" s="211"/>
      <c r="J5" s="20"/>
      <c r="L5" s="18" t="s">
        <v>44</v>
      </c>
    </row>
    <row r="6" spans="2:12" x14ac:dyDescent="0.85">
      <c r="B6" s="16">
        <f>IF(DataSet!C3=DataSet!D19,DataSet!F19,DataSet!F19)</f>
        <v>1</v>
      </c>
      <c r="C6" s="211" t="s">
        <v>43</v>
      </c>
      <c r="D6" s="211"/>
      <c r="E6" s="211"/>
      <c r="F6" s="211"/>
      <c r="G6" s="211"/>
      <c r="H6" s="211"/>
      <c r="I6" s="211"/>
      <c r="J6" s="20"/>
      <c r="L6" s="18" t="s">
        <v>43</v>
      </c>
    </row>
    <row r="7" spans="2:12" x14ac:dyDescent="0.85">
      <c r="B7" s="16">
        <f>IF(DataSet!C3=DataSet!D19,DataSet!F20,DataSet!F19)</f>
        <v>1</v>
      </c>
      <c r="C7" s="211" t="str">
        <f>IF(DataSet!C3=DataSet!D19," ",'องค์ 1'!L7)</f>
        <v>5) คุณสมบัติของอาจารย์ที่ปรึกษาวิทยานิพนธ์หลักและอาจารย์ที่ปรึกษาการค้นคว้าอิสระ</v>
      </c>
      <c r="D7" s="211"/>
      <c r="E7" s="211"/>
      <c r="F7" s="211"/>
      <c r="G7" s="211"/>
      <c r="H7" s="211"/>
      <c r="I7" s="211"/>
      <c r="J7" s="20"/>
      <c r="L7" s="18" t="s">
        <v>42</v>
      </c>
    </row>
    <row r="8" spans="2:12" x14ac:dyDescent="0.85">
      <c r="B8" s="16">
        <f>IF(DataSet!C3=DataSet!D19,DataSet!F20,DataSet!F19)</f>
        <v>1</v>
      </c>
      <c r="C8" s="211" t="str">
        <f>IF(DataSet!C3=DataSet!D19," ",'องค์ 1'!L8)</f>
        <v>6) คุณสมบัติของอาจารย์ที่ปรึกษาวิทยานิพนธ์ร่วม (ถ้ามี)</v>
      </c>
      <c r="D8" s="211"/>
      <c r="E8" s="211"/>
      <c r="F8" s="211"/>
      <c r="G8" s="211"/>
      <c r="H8" s="211"/>
      <c r="I8" s="211"/>
      <c r="J8" s="20"/>
      <c r="L8" s="18" t="s">
        <v>41</v>
      </c>
    </row>
    <row r="9" spans="2:12" x14ac:dyDescent="0.85">
      <c r="B9" s="16">
        <f>IF(DataSet!C3=DataSet!D19,DataSet!F20,DataSet!F19)</f>
        <v>1</v>
      </c>
      <c r="C9" s="211" t="str">
        <f>IF(DataSet!C3=DataSet!D19," ",'องค์ 1'!L9)</f>
        <v>7) คุณสมบัติของอาจารย์ผู้สอบวิทยานิพนธ์</v>
      </c>
      <c r="D9" s="211"/>
      <c r="E9" s="211"/>
      <c r="F9" s="211"/>
      <c r="G9" s="211"/>
      <c r="H9" s="211"/>
      <c r="I9" s="211"/>
      <c r="J9" s="20"/>
      <c r="L9" s="18" t="s">
        <v>40</v>
      </c>
    </row>
    <row r="10" spans="2:12" x14ac:dyDescent="0.85">
      <c r="B10" s="16">
        <f>IF(DataSet!C3=DataSet!D19,DataSet!F20,DataSet!F19)</f>
        <v>1</v>
      </c>
      <c r="C10" s="211" t="str">
        <f>IF(DataSet!C3=DataSet!D19," ",'องค์ 1'!L10)</f>
        <v>8) การตีพิมพ์เผยแพร่ผลงานของผู้สำเร็จการศึกษา</v>
      </c>
      <c r="D10" s="211"/>
      <c r="E10" s="211"/>
      <c r="F10" s="211"/>
      <c r="G10" s="211"/>
      <c r="H10" s="211"/>
      <c r="I10" s="211"/>
      <c r="J10" s="20"/>
      <c r="L10" s="18" t="s">
        <v>39</v>
      </c>
    </row>
    <row r="11" spans="2:12" x14ac:dyDescent="0.85">
      <c r="B11" s="16">
        <f>IF(DataSet!C3=DataSet!D19,DataSet!F20,DataSet!F19)</f>
        <v>1</v>
      </c>
      <c r="C11" s="211" t="str">
        <f>IF(DataSet!C3=DataSet!D19," ",'องค์ 1'!L11)</f>
        <v>9) ภาระงานอาจารย์ที่ปรึกษาวิทยานิพนธ์และการค้นคว้าอิสระนะระดับบัณฑิตศึกษา</v>
      </c>
      <c r="D11" s="211"/>
      <c r="E11" s="211"/>
      <c r="F11" s="211"/>
      <c r="G11" s="211"/>
      <c r="H11" s="211"/>
      <c r="I11" s="211"/>
      <c r="J11" s="20"/>
      <c r="L11" s="18" t="s">
        <v>38</v>
      </c>
    </row>
    <row r="12" spans="2:12" x14ac:dyDescent="0.85">
      <c r="B12" s="16">
        <f>IF(DataSet!C3=DataSet!D19,DataSet!F20,DataSet!F19)</f>
        <v>1</v>
      </c>
      <c r="C12" s="211" t="str">
        <f>IF(DataSet!C3=DataSet!D19," ",'องค์ 1'!L12)</f>
        <v>10) อาจารย์ที่ปรึกษาวิทยานิพนธ์และการค้นคว้าอิสระในระดับบัณฑิตมีผลงานวิจัยอย่างต่อเนื่องและสม่ำเสมอ</v>
      </c>
      <c r="D12" s="211"/>
      <c r="E12" s="211"/>
      <c r="F12" s="211"/>
      <c r="G12" s="211"/>
      <c r="H12" s="211"/>
      <c r="I12" s="211"/>
      <c r="J12" s="20"/>
      <c r="L12" s="18" t="s">
        <v>37</v>
      </c>
    </row>
    <row r="13" spans="2:12" x14ac:dyDescent="0.85">
      <c r="B13" s="16">
        <f>IF(DataSet!C3=DataSet!D19,DataSet!F19,DataSet!F19)</f>
        <v>1</v>
      </c>
      <c r="C13" s="212" t="s">
        <v>36</v>
      </c>
      <c r="D13" s="212"/>
      <c r="E13" s="212"/>
      <c r="F13" s="212"/>
      <c r="G13" s="212"/>
      <c r="H13" s="212"/>
      <c r="I13" s="212"/>
      <c r="J13" s="20"/>
    </row>
    <row r="14" spans="2:12" s="186" customFormat="1" x14ac:dyDescent="0.85">
      <c r="B14" s="185"/>
      <c r="E14" s="185"/>
    </row>
    <row r="15" spans="2:12" s="18" customFormat="1" x14ac:dyDescent="0.85">
      <c r="B15" s="193" t="s">
        <v>31</v>
      </c>
      <c r="C15" s="18" t="s">
        <v>32</v>
      </c>
      <c r="E15" s="193">
        <f>COUNTIF(J3:J6,DataSet!H19)+COUNTIF(J13,DataSet!H19)</f>
        <v>0</v>
      </c>
      <c r="F15" s="18">
        <f>IF(DataSet!C3=DataSet!D19,DataSet!C19,0)</f>
        <v>0</v>
      </c>
      <c r="G15" s="193" t="str">
        <f>IF(F15&lt;3,DataSet!I20,DataSet!I19)</f>
        <v>ไม่ผ่าน</v>
      </c>
      <c r="H15" s="18">
        <f>DataSet!F19</f>
        <v>1</v>
      </c>
      <c r="I15" s="193"/>
    </row>
    <row r="16" spans="2:12" s="18" customFormat="1" x14ac:dyDescent="0.85">
      <c r="C16" s="18" t="s">
        <v>33</v>
      </c>
      <c r="E16" s="193">
        <f>COUNTIF(J3:J13,DataSet!H19)</f>
        <v>0</v>
      </c>
      <c r="F16" s="18" t="e">
        <f>_xlfn.IFS(DataSet!C3=DataSet!D20,DataSet!C20,DataSet!C3=DataSet!D21,DataSet!C21)</f>
        <v>#N/A</v>
      </c>
      <c r="G16" s="193" t="e">
        <f>IF(F16&lt;11,DataSet!I20,DataSet!I19)</f>
        <v>#N/A</v>
      </c>
      <c r="H16" s="18">
        <f>DataSet!F20</f>
        <v>0</v>
      </c>
      <c r="I16" s="193"/>
    </row>
    <row r="17" spans="2:10" s="186" customFormat="1" x14ac:dyDescent="0.85">
      <c r="E17" s="185"/>
    </row>
    <row r="18" spans="2:10" s="186" customFormat="1" x14ac:dyDescent="0.85">
      <c r="E18" s="185"/>
    </row>
    <row r="19" spans="2:10" s="186" customFormat="1" x14ac:dyDescent="0.85">
      <c r="E19" s="185"/>
    </row>
    <row r="20" spans="2:10" s="186" customFormat="1" x14ac:dyDescent="0.85">
      <c r="E20" s="185"/>
    </row>
    <row r="21" spans="2:10" s="66" customFormat="1" x14ac:dyDescent="0.85">
      <c r="B21" s="186"/>
      <c r="C21" s="186"/>
      <c r="D21" s="186"/>
      <c r="E21" s="185"/>
      <c r="F21" s="186"/>
      <c r="G21" s="186"/>
      <c r="H21" s="186"/>
      <c r="I21" s="186"/>
      <c r="J21" s="186"/>
    </row>
    <row r="22" spans="2:10" s="66" customFormat="1" x14ac:dyDescent="0.85">
      <c r="B22" s="186"/>
      <c r="C22" s="186"/>
      <c r="D22" s="186"/>
      <c r="E22" s="185"/>
      <c r="F22" s="186"/>
      <c r="G22" s="186"/>
      <c r="H22" s="186"/>
      <c r="I22" s="186"/>
      <c r="J22" s="186"/>
    </row>
    <row r="23" spans="2:10" s="66" customFormat="1" x14ac:dyDescent="0.85">
      <c r="B23" s="186"/>
      <c r="C23" s="186"/>
      <c r="D23" s="186"/>
      <c r="E23" s="185"/>
      <c r="F23" s="186"/>
      <c r="G23" s="186"/>
      <c r="H23" s="186"/>
      <c r="I23" s="186"/>
      <c r="J23" s="186"/>
    </row>
    <row r="24" spans="2:10" s="66" customFormat="1" x14ac:dyDescent="0.85">
      <c r="B24" s="186"/>
      <c r="C24" s="186"/>
      <c r="D24" s="186"/>
      <c r="E24" s="185"/>
      <c r="F24" s="186"/>
      <c r="G24" s="186"/>
      <c r="H24" s="186"/>
      <c r="I24" s="186"/>
      <c r="J24" s="186"/>
    </row>
    <row r="25" spans="2:10" s="66" customFormat="1" x14ac:dyDescent="0.85">
      <c r="B25" s="186"/>
      <c r="C25" s="186"/>
      <c r="D25" s="186"/>
      <c r="E25" s="185"/>
      <c r="F25" s="186"/>
      <c r="G25" s="186"/>
      <c r="H25" s="186"/>
      <c r="I25" s="186"/>
      <c r="J25" s="186"/>
    </row>
    <row r="26" spans="2:10" s="66" customFormat="1" x14ac:dyDescent="0.85">
      <c r="B26" s="186"/>
      <c r="C26" s="186"/>
      <c r="D26" s="186"/>
      <c r="E26" s="185"/>
      <c r="F26" s="186"/>
      <c r="G26" s="186"/>
      <c r="H26" s="186"/>
      <c r="I26" s="186"/>
      <c r="J26" s="186"/>
    </row>
    <row r="27" spans="2:10" s="66" customFormat="1" x14ac:dyDescent="0.85">
      <c r="B27" s="186"/>
      <c r="C27" s="186"/>
      <c r="D27" s="186"/>
      <c r="E27" s="185"/>
      <c r="F27" s="186"/>
      <c r="G27" s="186"/>
      <c r="H27" s="186"/>
      <c r="I27" s="186"/>
      <c r="J27" s="186"/>
    </row>
    <row r="28" spans="2:10" s="66" customFormat="1" x14ac:dyDescent="0.85">
      <c r="B28" s="186"/>
      <c r="C28" s="186"/>
      <c r="D28" s="186"/>
      <c r="E28" s="185"/>
      <c r="F28" s="186"/>
      <c r="G28" s="186"/>
      <c r="H28" s="186"/>
      <c r="I28" s="186"/>
      <c r="J28" s="186"/>
    </row>
    <row r="29" spans="2:10" x14ac:dyDescent="0.85">
      <c r="B29" s="186"/>
      <c r="C29" s="186"/>
      <c r="D29" s="186"/>
      <c r="E29" s="185"/>
      <c r="F29" s="186"/>
      <c r="G29" s="186"/>
      <c r="H29" s="186"/>
      <c r="I29" s="186"/>
      <c r="J29" s="186"/>
    </row>
    <row r="30" spans="2:10" x14ac:dyDescent="0.85">
      <c r="B30" s="186"/>
      <c r="C30" s="186"/>
      <c r="D30" s="186"/>
      <c r="E30" s="185"/>
      <c r="F30" s="186"/>
      <c r="G30" s="186"/>
      <c r="H30" s="186"/>
      <c r="I30" s="186"/>
      <c r="J30" s="186"/>
    </row>
    <row r="31" spans="2:10" x14ac:dyDescent="0.85">
      <c r="B31" s="186"/>
      <c r="C31" s="186"/>
      <c r="D31" s="186"/>
      <c r="E31" s="185"/>
      <c r="F31" s="186"/>
      <c r="G31" s="186"/>
      <c r="H31" s="186"/>
      <c r="I31" s="186"/>
      <c r="J31" s="186"/>
    </row>
    <row r="32" spans="2:10" x14ac:dyDescent="0.85">
      <c r="B32" s="186"/>
      <c r="C32" s="186"/>
      <c r="D32" s="186"/>
      <c r="E32" s="185"/>
      <c r="F32" s="186"/>
      <c r="G32" s="186"/>
      <c r="H32" s="186"/>
      <c r="I32" s="186"/>
      <c r="J32" s="186"/>
    </row>
    <row r="33" spans="2:10" x14ac:dyDescent="0.85">
      <c r="B33" s="186"/>
      <c r="C33" s="186"/>
      <c r="D33" s="186"/>
      <c r="E33" s="185"/>
      <c r="F33" s="186"/>
      <c r="G33" s="186"/>
      <c r="H33" s="186"/>
      <c r="I33" s="186"/>
      <c r="J33" s="186"/>
    </row>
    <row r="34" spans="2:10" x14ac:dyDescent="0.85">
      <c r="B34" s="186"/>
      <c r="C34" s="186"/>
      <c r="D34" s="186"/>
      <c r="E34" s="185"/>
      <c r="F34" s="186"/>
      <c r="G34" s="186"/>
      <c r="H34" s="186"/>
      <c r="I34" s="186"/>
      <c r="J34" s="186"/>
    </row>
    <row r="35" spans="2:10" x14ac:dyDescent="0.85">
      <c r="B35" s="186"/>
      <c r="C35" s="186"/>
      <c r="D35" s="186"/>
      <c r="E35" s="185"/>
      <c r="F35" s="186"/>
      <c r="G35" s="186"/>
      <c r="H35" s="186"/>
      <c r="I35" s="186"/>
      <c r="J35" s="186"/>
    </row>
    <row r="36" spans="2:10" x14ac:dyDescent="0.85">
      <c r="B36" s="186"/>
      <c r="C36" s="186"/>
      <c r="D36" s="186"/>
      <c r="E36" s="185"/>
      <c r="F36" s="186"/>
      <c r="G36" s="186"/>
      <c r="H36" s="186"/>
      <c r="I36" s="186"/>
      <c r="J36" s="186"/>
    </row>
    <row r="37" spans="2:10" x14ac:dyDescent="0.85">
      <c r="B37" s="185"/>
      <c r="C37" s="186"/>
      <c r="D37" s="186"/>
      <c r="E37" s="185"/>
      <c r="F37" s="186"/>
      <c r="G37" s="186"/>
      <c r="H37" s="186"/>
      <c r="I37" s="186"/>
      <c r="J37" s="186"/>
    </row>
    <row r="38" spans="2:10" x14ac:dyDescent="0.85">
      <c r="B38" s="185"/>
      <c r="C38" s="186"/>
      <c r="D38" s="186"/>
      <c r="E38" s="185"/>
      <c r="F38" s="186"/>
      <c r="G38" s="186"/>
      <c r="H38" s="186"/>
      <c r="I38" s="186"/>
      <c r="J38" s="186"/>
    </row>
    <row r="39" spans="2:10" x14ac:dyDescent="0.85">
      <c r="B39" s="186"/>
      <c r="C39" s="186"/>
      <c r="D39" s="186"/>
      <c r="E39" s="185"/>
      <c r="F39" s="186"/>
      <c r="G39" s="186"/>
      <c r="H39" s="186"/>
      <c r="I39" s="186"/>
      <c r="J39" s="186"/>
    </row>
    <row r="40" spans="2:10" x14ac:dyDescent="0.85">
      <c r="B40" s="186"/>
      <c r="C40" s="186"/>
      <c r="D40" s="186"/>
      <c r="E40" s="185"/>
      <c r="F40" s="186"/>
      <c r="G40" s="186"/>
      <c r="H40" s="186"/>
      <c r="I40" s="186"/>
      <c r="J40" s="186"/>
    </row>
    <row r="41" spans="2:10" x14ac:dyDescent="0.85">
      <c r="B41" s="186"/>
      <c r="C41" s="186"/>
      <c r="D41" s="186"/>
      <c r="E41" s="185"/>
      <c r="F41" s="186"/>
      <c r="G41" s="186"/>
      <c r="H41" s="186"/>
      <c r="I41" s="186"/>
      <c r="J41" s="186"/>
    </row>
    <row r="42" spans="2:10" x14ac:dyDescent="0.85">
      <c r="B42" s="186"/>
      <c r="C42" s="186"/>
      <c r="D42" s="186"/>
      <c r="E42" s="185"/>
      <c r="F42" s="186"/>
      <c r="G42" s="186"/>
      <c r="H42" s="186"/>
      <c r="I42" s="186"/>
      <c r="J42" s="186"/>
    </row>
    <row r="43" spans="2:10" x14ac:dyDescent="0.85">
      <c r="B43" s="185"/>
      <c r="C43" s="186"/>
      <c r="D43" s="186"/>
      <c r="E43" s="185"/>
      <c r="F43" s="186"/>
      <c r="G43" s="186"/>
      <c r="H43" s="186"/>
      <c r="I43" s="186"/>
      <c r="J43" s="186"/>
    </row>
    <row r="44" spans="2:10" x14ac:dyDescent="0.85">
      <c r="B44" s="186"/>
      <c r="C44" s="186"/>
      <c r="D44" s="186"/>
      <c r="E44" s="185"/>
      <c r="F44" s="186"/>
      <c r="G44" s="186"/>
      <c r="H44" s="186"/>
      <c r="I44" s="186"/>
      <c r="J44" s="186"/>
    </row>
    <row r="45" spans="2:10" x14ac:dyDescent="0.85">
      <c r="B45" s="17"/>
    </row>
  </sheetData>
  <sheetProtection algorithmName="SHA-512" hashValue="8tRwUn+vJ7FfKdlLiXjmQ31hINl+ZyrCBJsQ7IhOOSwrtM/ORuOoG4VOJbB0JK5OZCxvZUc28TgFUNJHqrc6jQ==" saltValue="fGUP+e2EatzKm+staEUD/w==" spinCount="100000" sheet="1" selectLockedCells="1"/>
  <mergeCells count="12">
    <mergeCell ref="B1:J1"/>
    <mergeCell ref="C11:I11"/>
    <mergeCell ref="C12:I12"/>
    <mergeCell ref="C13:I13"/>
    <mergeCell ref="C3:I3"/>
    <mergeCell ref="C4:I4"/>
    <mergeCell ref="C5:I5"/>
    <mergeCell ref="C6:I6"/>
    <mergeCell ref="C7:I7"/>
    <mergeCell ref="C8:I8"/>
    <mergeCell ref="C9:I9"/>
    <mergeCell ref="C10:I10"/>
  </mergeCells>
  <conditionalFormatting sqref="C5:J12">
    <cfRule type="notContainsBlanks" dxfId="57" priority="8">
      <formula>LEN(TRIM(C5))&gt;0</formula>
    </cfRule>
  </conditionalFormatting>
  <conditionalFormatting sqref="J3:J13">
    <cfRule type="cellIs" dxfId="56" priority="2" operator="equal">
      <formula>"ไม่มี"</formula>
    </cfRule>
    <cfRule type="cellIs" dxfId="55" priority="3" operator="equal">
      <formula>"มี"</formula>
    </cfRule>
    <cfRule type="containsBlanks" dxfId="54" priority="9">
      <formula>LEN(TRIM(J3))=0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5725077-0F4F-494D-9BA8-5820F00BBA4D}">
            <x14:iconSet iconSet="3Symbols2" showValue="0" custom="1">
              <x14:cfvo type="percent">
                <xm:f>0</xm:f>
              </x14:cfvo>
              <x14:cfvo type="percent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Flags" iconId="2"/>
            </x14:iconSet>
          </x14:cfRule>
          <xm:sqref>B3:B13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DataSet!$H$19:$H$20</xm:f>
          </x14:formula1>
          <xm:sqref>J3:J13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Q36"/>
  <sheetViews>
    <sheetView showRowColHeaders="0" zoomScaleNormal="100" workbookViewId="0">
      <selection activeCell="J3" sqref="J3"/>
    </sheetView>
  </sheetViews>
  <sheetFormatPr defaultColWidth="8.25" defaultRowHeight="27" x14ac:dyDescent="0.9"/>
  <cols>
    <col min="1" max="1" width="8.25" style="2"/>
    <col min="2" max="2" width="6" style="10" customWidth="1"/>
    <col min="3" max="5" width="8.25" style="2"/>
    <col min="6" max="6" width="19.9140625" style="2" customWidth="1"/>
    <col min="7" max="7" width="14.08203125" style="2" customWidth="1"/>
    <col min="8" max="8" width="7.9140625" style="2" customWidth="1"/>
    <col min="9" max="9" width="9.9140625" style="10" customWidth="1"/>
    <col min="10" max="10" width="15.33203125" style="10" bestFit="1" customWidth="1"/>
    <col min="11" max="11" width="8.25" style="2"/>
    <col min="12" max="12" width="13.75" style="87" bestFit="1" customWidth="1"/>
    <col min="13" max="13" width="8.25" style="87"/>
    <col min="14" max="15" width="8.25" style="89"/>
    <col min="16" max="17" width="8.25" style="15"/>
    <col min="18" max="16384" width="8.25" style="2"/>
  </cols>
  <sheetData>
    <row r="1" spans="2:17" s="4" customFormat="1" ht="30" x14ac:dyDescent="1">
      <c r="B1" s="215" t="s">
        <v>46</v>
      </c>
      <c r="C1" s="215"/>
      <c r="D1" s="215"/>
      <c r="E1" s="215"/>
      <c r="F1" s="215"/>
      <c r="G1" s="215"/>
      <c r="H1" s="215"/>
      <c r="I1" s="215"/>
      <c r="J1" s="215"/>
      <c r="K1" s="215"/>
      <c r="L1" s="102"/>
      <c r="M1" s="102"/>
      <c r="N1" s="88"/>
      <c r="O1" s="88"/>
      <c r="P1" s="79"/>
      <c r="Q1" s="79"/>
    </row>
    <row r="2" spans="2:17" s="4" customFormat="1" x14ac:dyDescent="0.9">
      <c r="B2" s="11" t="s">
        <v>47</v>
      </c>
      <c r="C2" s="11"/>
      <c r="D2" s="11"/>
      <c r="E2" s="11"/>
      <c r="F2" s="11"/>
      <c r="G2" s="11"/>
      <c r="H2" s="11"/>
      <c r="I2" s="216" t="s">
        <v>19</v>
      </c>
      <c r="J2" s="216"/>
      <c r="K2" s="216"/>
      <c r="L2" s="104">
        <v>0.2</v>
      </c>
      <c r="M2" s="104">
        <v>0.7</v>
      </c>
      <c r="N2" s="88"/>
      <c r="O2" s="88"/>
      <c r="P2" s="79"/>
      <c r="Q2" s="79"/>
    </row>
    <row r="3" spans="2:17" x14ac:dyDescent="0.9">
      <c r="C3" s="2" t="s">
        <v>92</v>
      </c>
      <c r="I3" s="10" t="s">
        <v>65</v>
      </c>
      <c r="J3" s="30">
        <v>0</v>
      </c>
      <c r="K3" s="2" t="s">
        <v>91</v>
      </c>
      <c r="L3" s="87">
        <f>(20*J3)/100</f>
        <v>0</v>
      </c>
      <c r="M3" s="87">
        <f>(70*J3)/100</f>
        <v>0</v>
      </c>
    </row>
    <row r="4" spans="2:17" x14ac:dyDescent="0.9">
      <c r="B4" s="2"/>
      <c r="C4" s="2" t="s">
        <v>90</v>
      </c>
      <c r="J4" s="73">
        <v>0</v>
      </c>
      <c r="L4" s="105"/>
    </row>
    <row r="5" spans="2:17" x14ac:dyDescent="0.9">
      <c r="B5" s="2"/>
      <c r="C5" s="2" t="s">
        <v>167</v>
      </c>
      <c r="G5" s="80" t="s">
        <v>168</v>
      </c>
      <c r="H5" s="81" t="str">
        <f>IF(J3=0," ",(J5*100)/J3)</f>
        <v xml:space="preserve"> </v>
      </c>
      <c r="I5" s="10" t="s">
        <v>65</v>
      </c>
      <c r="J5" s="51">
        <v>0</v>
      </c>
      <c r="K5" s="2" t="s">
        <v>91</v>
      </c>
      <c r="L5" s="106">
        <f>IF(J3=0,0,IF(J5&lt;L3,0,IF(J4&gt;(J5*5),"ข้อมูลผิดพลาด",ROUNDUP((J4/J5),2))))</f>
        <v>0</v>
      </c>
    </row>
    <row r="6" spans="2:17" x14ac:dyDescent="0.9">
      <c r="B6" s="214" t="str">
        <f>IF(DataSet!C3=DataSet!D19,"ตัวบ่งชี้ 2.2 ร้อยละของบัณฑิตปริญญาตรีที่ได้งานทำ หรือ ประกอบอาชีพอิสระ ภายใน 1 ปี (สำหรับ ป.ตรี)"," ")</f>
        <v xml:space="preserve"> 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2:17" x14ac:dyDescent="0.9">
      <c r="B7" s="2"/>
      <c r="C7" s="2" t="str">
        <f>IF(DataSet!C3=DataSet!D19,"จำนวนบัณฑิตที่ตอบแบบสำรวจทั้งหมด"," ")</f>
        <v xml:space="preserve"> </v>
      </c>
      <c r="I7" s="10" t="str">
        <f>IF(DataSet!C3=DataSet!D19,"จำนวน"," ")</f>
        <v xml:space="preserve"> </v>
      </c>
      <c r="J7" s="30">
        <v>0</v>
      </c>
      <c r="K7" s="2" t="str">
        <f>IF(DataSet!C3=DataSet!D19,"คน"," ")</f>
        <v xml:space="preserve"> </v>
      </c>
      <c r="L7" s="107" t="s">
        <v>67</v>
      </c>
      <c r="M7" s="68" t="e">
        <f>IF(J7&lt;M3,0,(J11*100)/J7)</f>
        <v>#DIV/0!</v>
      </c>
    </row>
    <row r="8" spans="2:17" x14ac:dyDescent="0.9">
      <c r="B8" s="2"/>
      <c r="C8" s="2" t="str">
        <f>IF(DataSet!C3=DataSet!D19,"จำนวนบัณฑิตปริญญาตรีที่ได้งานทำ (ตรงสาขาที่เรียน) ภายใน 1 ปี"," ")</f>
        <v xml:space="preserve"> </v>
      </c>
      <c r="I8" s="10" t="str">
        <f>IF(DataSet!C3=DataSet!D19,"จำนวน"," ")</f>
        <v xml:space="preserve"> </v>
      </c>
      <c r="J8" s="30">
        <v>0</v>
      </c>
      <c r="K8" s="2" t="str">
        <f>IF(DataSet!C3=DataSet!D19,"คน"," ")</f>
        <v xml:space="preserve"> </v>
      </c>
      <c r="L8" s="105" t="s">
        <v>93</v>
      </c>
      <c r="M8" s="68">
        <f>IF(J3=0,0,ROUNDUP((M7*5)/100,2))</f>
        <v>0</v>
      </c>
      <c r="P8" s="15" t="str">
        <f>IF(DataSet!C3=DataSet!D19,"จำนวนบัณฑิตปริญญาตรีที่ได้งานทำ หรือ ประกอบอาชีพอิสระ ภายใน 1 ปี"," ")</f>
        <v xml:space="preserve"> </v>
      </c>
    </row>
    <row r="9" spans="2:17" x14ac:dyDescent="0.9">
      <c r="B9" s="2"/>
      <c r="C9" s="2" t="str">
        <f>IF(DataSet!C3=DataSet!D19,"จำนวนบัณฑิตปริญญาตรีที่ได้งานทำ (ไม่ตรงสาขาที่เรียน) ภายใน 1 ปี"," ")</f>
        <v xml:space="preserve"> </v>
      </c>
      <c r="I9" s="10" t="str">
        <f>IF(DataSet!C3=DataSet!D19,"จำนวน"," ")</f>
        <v xml:space="preserve"> </v>
      </c>
      <c r="J9" s="30">
        <v>0</v>
      </c>
      <c r="K9" s="2" t="str">
        <f>IF(DataSet!C3=DataSet!D19,"คน"," ")</f>
        <v xml:space="preserve"> </v>
      </c>
      <c r="L9" s="105"/>
      <c r="M9" s="68"/>
    </row>
    <row r="10" spans="2:17" x14ac:dyDescent="0.9">
      <c r="B10" s="2"/>
      <c r="C10" s="2" t="str">
        <f>IF(DataSet!C3=DataSet!D19,"จำนวนบัณฑิตที่ประกอบอาชีพอิสระ ภายใน 1 ปี"," ")</f>
        <v xml:space="preserve"> </v>
      </c>
      <c r="I10" s="10" t="str">
        <f>IF(DataSet!C3=DataSet!D19,"จำนวน"," ")</f>
        <v xml:space="preserve"> </v>
      </c>
      <c r="J10" s="30">
        <v>0</v>
      </c>
      <c r="K10" s="2" t="str">
        <f>IF(DataSet!C3=DataSet!D19,"คน"," ")</f>
        <v xml:space="preserve"> </v>
      </c>
      <c r="L10" s="105"/>
      <c r="M10" s="68"/>
    </row>
    <row r="11" spans="2:17" x14ac:dyDescent="0.9">
      <c r="B11" s="2"/>
      <c r="D11" s="2" t="str">
        <f>IF(DataSet!C3=DataSet!D19,"รวมจำนวนบัณฑิตที่ได้งานทำ (ทุกกรณี) ทั้งสิ้น"," ")</f>
        <v xml:space="preserve"> </v>
      </c>
      <c r="I11" s="10" t="str">
        <f>IF(DataSet!C3=DataSet!D19,"จำนวน"," ")</f>
        <v xml:space="preserve"> </v>
      </c>
      <c r="J11" s="39">
        <f>J7-SUM(J12:J15)</f>
        <v>0</v>
      </c>
      <c r="K11" s="2" t="str">
        <f>IF(DataSet!C3=DataSet!D19,"คน"," ")</f>
        <v xml:space="preserve"> </v>
      </c>
      <c r="L11" s="105"/>
      <c r="M11" s="68"/>
    </row>
    <row r="12" spans="2:17" x14ac:dyDescent="0.9">
      <c r="B12" s="2"/>
      <c r="C12" s="2" t="str">
        <f>IF(DataSet!C3=DataSet!D19,"จำนวนบัณฑิตที่มีงานทำก่อนเข้าศึกษา"," ")</f>
        <v xml:space="preserve"> </v>
      </c>
      <c r="I12" s="10" t="str">
        <f>IF(DataSet!C3=DataSet!D19,"จำนวน"," ")</f>
        <v xml:space="preserve"> </v>
      </c>
      <c r="J12" s="30">
        <v>0</v>
      </c>
      <c r="K12" s="2" t="str">
        <f>IF(DataSet!C3=DataSet!D19,"คน"," ")</f>
        <v xml:space="preserve"> </v>
      </c>
      <c r="L12" s="105"/>
      <c r="M12" s="68"/>
    </row>
    <row r="13" spans="2:17" x14ac:dyDescent="0.9">
      <c r="B13" s="2"/>
      <c r="C13" s="2" t="str">
        <f>IF(DataSet!C3=DataSet!D19,"จำนวนบัณฑิตที่ศึกษาต่อ"," ")</f>
        <v xml:space="preserve"> </v>
      </c>
      <c r="I13" s="10" t="str">
        <f>IF(DataSet!C3=DataSet!D19,"จำนวน"," ")</f>
        <v xml:space="preserve"> </v>
      </c>
      <c r="J13" s="51">
        <v>0</v>
      </c>
      <c r="K13" s="2" t="str">
        <f>IF(DataSet!C3=DataSet!D19,"คน"," ")</f>
        <v xml:space="preserve"> </v>
      </c>
    </row>
    <row r="14" spans="2:17" x14ac:dyDescent="0.9">
      <c r="B14" s="2"/>
      <c r="C14" s="2" t="str">
        <f>IF(DataSet!C3=DataSet!D19,"จำนวนบัณฑิตที่เกณฑ์ทหาร"," ")</f>
        <v xml:space="preserve"> </v>
      </c>
      <c r="I14" s="10" t="str">
        <f>IF(DataSet!C3=DataSet!D19,"จำนวน"," ")</f>
        <v xml:space="preserve"> </v>
      </c>
      <c r="J14" s="51">
        <v>0</v>
      </c>
      <c r="K14" s="2" t="str">
        <f>IF(DataSet!C3=DataSet!D19,"คน"," ")</f>
        <v xml:space="preserve"> </v>
      </c>
      <c r="L14" s="213"/>
    </row>
    <row r="15" spans="2:17" x14ac:dyDescent="0.9">
      <c r="B15" s="2"/>
      <c r="C15" s="2" t="str">
        <f>IF(DataSet!C3=DataSet!D19,"จำนวนบัณฑิตที่อุปสมบท"," ")</f>
        <v xml:space="preserve"> </v>
      </c>
      <c r="I15" s="10" t="str">
        <f>IF(DataSet!C3=DataSet!D19,"จำนวน"," ")</f>
        <v xml:space="preserve"> </v>
      </c>
      <c r="J15" s="51">
        <v>0</v>
      </c>
      <c r="K15" s="2" t="str">
        <f>IF(DataSet!C3=DataSet!D19,"คน"," ")</f>
        <v xml:space="preserve"> </v>
      </c>
      <c r="L15" s="213"/>
    </row>
    <row r="16" spans="2:17" x14ac:dyDescent="0.9">
      <c r="B16" s="214" t="str">
        <f>IF(DataSet!C3=DataSet!D20,"ตัวบ่งชี้ 2.2 ผลงานของนักศึกษาและผู้สำเร็จการศึกษาในระดับปริญญาโทที่ได้รับการตีพิมพ์หรือเผยแพร่ (สำหรับ ป.โท)"," ")</f>
        <v xml:space="preserve"> </v>
      </c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13" x14ac:dyDescent="0.9">
      <c r="B17" s="2"/>
      <c r="C17" s="2" t="str">
        <f>IF(DataSet!C3=DataSet!D20,"จำนวนผู้สำเร็จการศึกษาระดับปริญญาโททั้งหมด"," ")</f>
        <v xml:space="preserve"> </v>
      </c>
      <c r="I17" s="10" t="str">
        <f>IF(DataSet!C3=DataSet!D20,"จำนวน"," ")</f>
        <v xml:space="preserve"> </v>
      </c>
      <c r="J17" s="39" t="str">
        <f>IF(DataSet!C3=DataSet!D19," ",IF(DataSet!C3=DataSet!D20,J3," "))</f>
        <v xml:space="preserve"> </v>
      </c>
      <c r="K17" s="2" t="str">
        <f>IF(DataSet!C3=DataSet!D20,"คน"," ")</f>
        <v xml:space="preserve"> </v>
      </c>
      <c r="L17" s="108" t="s">
        <v>67</v>
      </c>
      <c r="M17" s="68" t="e">
        <f>(J18*100)/J17</f>
        <v>#VALUE!</v>
      </c>
    </row>
    <row r="18" spans="2:13" x14ac:dyDescent="0.9">
      <c r="B18" s="2"/>
      <c r="C18" s="2" t="str">
        <f>IF(DataSet!C3=DataSet!D20,"ผลรวมถ่วงน้ำหนักผลงานที่ตีพิมพ์หรือเผยแพร่ของ นศ.ปริญญาโท (ในปีการประเมิน)"," ")</f>
        <v xml:space="preserve"> </v>
      </c>
      <c r="J18" s="51"/>
      <c r="L18" s="108" t="s">
        <v>93</v>
      </c>
      <c r="M18" s="68">
        <f>IF(J3=0,0,IF(M17&gt;40,5,((M17*5)/40)))</f>
        <v>0</v>
      </c>
    </row>
    <row r="19" spans="2:13" x14ac:dyDescent="0.9">
      <c r="B19" s="214" t="str">
        <f>IF(DataSet!C3=DataSet!D21,"ตัวบ่งชี้ 2.2 ผลงานของนักศึกษาและผู้สำเร็จการศึกษาในระดับปริญญาเอกที่ได้รับการตีพิมพ์หรือเผยแพร่"," ")</f>
        <v xml:space="preserve"> 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3" x14ac:dyDescent="0.9">
      <c r="B20" s="2"/>
      <c r="C20" s="2" t="str">
        <f>IF(DataSet!C3=DataSet!D21,"จำนวนผู้สำเร็จการศึกษาระดับปริญญาเอกทั้งหมด"," ")</f>
        <v xml:space="preserve"> </v>
      </c>
      <c r="I20" s="10" t="str">
        <f>IF(DataSet!C3=DataSet!D21,"จำนวน"," ")</f>
        <v xml:space="preserve"> </v>
      </c>
      <c r="J20" s="39">
        <f>IF(DataSet!C3=DataSet!D19," ",IF(DataSet!C3=DataSet!D20," ",J3))</f>
        <v>0</v>
      </c>
      <c r="K20" s="2" t="str">
        <f>IF(DataSet!C3=DataSet!D21,"คน"," ")</f>
        <v xml:space="preserve"> </v>
      </c>
      <c r="L20" s="108" t="s">
        <v>67</v>
      </c>
      <c r="M20" s="68" t="e">
        <f>(J21*100)/J20</f>
        <v>#DIV/0!</v>
      </c>
    </row>
    <row r="21" spans="2:13" x14ac:dyDescent="0.9">
      <c r="B21" s="2"/>
      <c r="C21" s="2" t="str">
        <f>IF(DataSet!C3=DataSet!D21,"ผลรวมถ่วงน้ำหนักผลงานที่ตีพิมพ์หรือเผยแพร่ของ นศ.ปริญญาเอก (ในปีการประเมิน)"," ")</f>
        <v xml:space="preserve"> </v>
      </c>
      <c r="J21" s="51"/>
      <c r="L21" s="108" t="s">
        <v>93</v>
      </c>
      <c r="M21" s="68">
        <f>IF(J3=0,0,IF(M20&gt;80,5,((M20*5)/80)))</f>
        <v>0</v>
      </c>
    </row>
    <row r="22" spans="2:13" x14ac:dyDescent="0.9">
      <c r="B22" s="2"/>
    </row>
    <row r="23" spans="2:13" x14ac:dyDescent="0.9">
      <c r="B23" s="2"/>
      <c r="H23" s="2" t="s">
        <v>97</v>
      </c>
    </row>
    <row r="24" spans="2:13" x14ac:dyDescent="0.9">
      <c r="B24" s="2"/>
    </row>
    <row r="25" spans="2:13" x14ac:dyDescent="0.9">
      <c r="B25" s="2"/>
    </row>
    <row r="26" spans="2:13" x14ac:dyDescent="0.9">
      <c r="B26" s="2"/>
    </row>
    <row r="27" spans="2:13" x14ac:dyDescent="0.9">
      <c r="B27" s="2"/>
    </row>
    <row r="30" spans="2:13" ht="24" customHeight="1" x14ac:dyDescent="0.9">
      <c r="B30" s="2"/>
    </row>
    <row r="31" spans="2:13" ht="24" customHeight="1" x14ac:dyDescent="0.9">
      <c r="B31" s="2"/>
    </row>
    <row r="32" spans="2:13" ht="24" customHeight="1" x14ac:dyDescent="0.9">
      <c r="B32" s="2"/>
    </row>
    <row r="33" spans="2:2" ht="24" customHeight="1" x14ac:dyDescent="0.9">
      <c r="B33" s="2"/>
    </row>
    <row r="35" spans="2:2" ht="24" customHeight="1" x14ac:dyDescent="0.9">
      <c r="B35" s="2"/>
    </row>
    <row r="36" spans="2:2" ht="24" customHeight="1" x14ac:dyDescent="0.9">
      <c r="B36" s="2"/>
    </row>
  </sheetData>
  <sheetProtection algorithmName="SHA-512" hashValue="3hZfP9074gk37eqH22JAdczQbF7wCEXo1NCw6qL6TlztQo9h6PotL7fn7K4qmf35w1Q9/bEA/iwaqiOYrO1k0w==" saltValue="pfaYeR+ckdyDrndl5RhwGg==" spinCount="100000" sheet="1" objects="1" scenarios="1" selectLockedCells="1"/>
  <mergeCells count="6">
    <mergeCell ref="L14:L15"/>
    <mergeCell ref="B19:K19"/>
    <mergeCell ref="B16:K16"/>
    <mergeCell ref="B1:K1"/>
    <mergeCell ref="I2:K2"/>
    <mergeCell ref="B6:K6"/>
  </mergeCells>
  <conditionalFormatting sqref="B16 B6 B19">
    <cfRule type="containsBlanks" dxfId="53" priority="12">
      <formula>LEN(TRIM(B6))=0</formula>
    </cfRule>
  </conditionalFormatting>
  <conditionalFormatting sqref="J4">
    <cfRule type="expression" dxfId="52" priority="10">
      <formula>($J$5*5)&lt;$J$4</formula>
    </cfRule>
  </conditionalFormatting>
  <conditionalFormatting sqref="J7">
    <cfRule type="cellIs" dxfId="51" priority="5" operator="lessThan">
      <formula>$M$3</formula>
    </cfRule>
    <cfRule type="expression" dxfId="50" priority="9">
      <formula>$J$7&gt;$J$3</formula>
    </cfRule>
  </conditionalFormatting>
  <conditionalFormatting sqref="J5">
    <cfRule type="cellIs" dxfId="49" priority="1" operator="equal">
      <formula>0</formula>
    </cfRule>
    <cfRule type="cellIs" dxfId="48" priority="3" operator="equal">
      <formula>0</formula>
    </cfRule>
    <cfRule type="cellIs" dxfId="47" priority="6" operator="between">
      <formula>$L$3</formula>
      <formula>"&gt;$K$3"</formula>
    </cfRule>
    <cfRule type="cellIs" dxfId="46" priority="8" operator="lessThan">
      <formula>$L$3</formula>
    </cfRule>
  </conditionalFormatting>
  <conditionalFormatting sqref="H5">
    <cfRule type="cellIs" dxfId="45" priority="2" operator="equal">
      <formula>0</formula>
    </cfRule>
    <cfRule type="cellIs" dxfId="44" priority="7" operator="lessThan">
      <formula>$L$3</formula>
    </cfRule>
  </conditionalFormatting>
  <conditionalFormatting sqref="J11">
    <cfRule type="containsText" dxfId="43" priority="4" operator="containsText" text="น่าจะใส่จำนวนผิด">
      <formula>NOT(ISERROR(SEARCH("น่าจะใส่จำนวนผิด",J11)))</formula>
    </cfRule>
  </conditionalFormatting>
  <dataValidations count="1">
    <dataValidation allowBlank="1" showInputMessage="1" showErrorMessage="1" prompt="เงื่อนไข ..._x000a_ไม่มีข้อมูล _x000a_ให้ใส่ค่า 0" sqref="J7:J15 J3:J5" xr:uid="{00000000-0002-0000-0300-000000000000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B1:O46"/>
  <sheetViews>
    <sheetView showRowColHeaders="0" zoomScaleNormal="100" workbookViewId="0">
      <selection activeCell="D4" sqref="D4"/>
    </sheetView>
  </sheetViews>
  <sheetFormatPr defaultColWidth="8.25" defaultRowHeight="24" x14ac:dyDescent="0.8"/>
  <cols>
    <col min="1" max="1" width="8.25" style="6"/>
    <col min="2" max="2" width="5.25" style="7" customWidth="1"/>
    <col min="3" max="3" width="19.4140625" style="6" customWidth="1"/>
    <col min="4" max="9" width="12.33203125" style="6" customWidth="1"/>
    <col min="10" max="10" width="8.33203125" style="29" bestFit="1" customWidth="1"/>
    <col min="11" max="12" width="8.25" style="103"/>
    <col min="13" max="15" width="8.25" style="7"/>
    <col min="16" max="16384" width="8.25" style="6"/>
  </cols>
  <sheetData>
    <row r="1" spans="2:15" s="5" customFormat="1" ht="30" x14ac:dyDescent="1">
      <c r="B1" s="219" t="s">
        <v>48</v>
      </c>
      <c r="C1" s="219"/>
      <c r="D1" s="219"/>
      <c r="E1" s="219"/>
      <c r="F1" s="219"/>
      <c r="G1" s="219"/>
      <c r="H1" s="219"/>
      <c r="I1" s="219"/>
      <c r="J1" s="26"/>
      <c r="K1" s="101"/>
      <c r="L1" s="101"/>
      <c r="M1" s="8"/>
      <c r="N1" s="8"/>
      <c r="O1" s="8"/>
    </row>
    <row r="2" spans="2:15" s="5" customFormat="1" ht="30" x14ac:dyDescent="1">
      <c r="B2" s="220" t="s">
        <v>51</v>
      </c>
      <c r="C2" s="220"/>
      <c r="D2" s="8">
        <v>0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26"/>
      <c r="K2" s="101"/>
      <c r="L2" s="101"/>
      <c r="M2" s="8"/>
      <c r="N2" s="8"/>
      <c r="O2" s="8"/>
    </row>
    <row r="3" spans="2:15" s="4" customFormat="1" ht="27" x14ac:dyDescent="0.9">
      <c r="B3" s="25" t="s">
        <v>50</v>
      </c>
      <c r="C3" s="25"/>
      <c r="D3" s="25"/>
      <c r="E3" s="25"/>
      <c r="F3" s="25"/>
      <c r="G3" s="25"/>
      <c r="H3" s="25"/>
      <c r="I3" s="25"/>
      <c r="J3" s="27"/>
      <c r="K3" s="102"/>
      <c r="L3" s="102"/>
      <c r="M3" s="9"/>
      <c r="N3" s="9"/>
      <c r="O3" s="9"/>
    </row>
    <row r="4" spans="2:15" s="2" customFormat="1" ht="27" x14ac:dyDescent="0.9">
      <c r="B4" s="218" t="s">
        <v>49</v>
      </c>
      <c r="C4" s="218"/>
      <c r="D4" s="65"/>
      <c r="E4" s="30"/>
      <c r="F4" s="31"/>
      <c r="G4" s="31"/>
      <c r="H4" s="31"/>
      <c r="I4" s="31"/>
      <c r="J4" s="74">
        <f>COUNTIF(E4:I4,DataSet!H19)</f>
        <v>0</v>
      </c>
      <c r="K4" s="87"/>
      <c r="L4" s="87"/>
      <c r="M4" s="10"/>
      <c r="N4" s="10"/>
      <c r="O4" s="10"/>
    </row>
    <row r="5" spans="2:15" s="2" customFormat="1" ht="27" x14ac:dyDescent="0.9">
      <c r="B5" s="217" t="s">
        <v>52</v>
      </c>
      <c r="C5" s="217"/>
      <c r="D5" s="217"/>
      <c r="E5" s="217"/>
      <c r="F5" s="217"/>
      <c r="G5" s="217"/>
      <c r="H5" s="217"/>
      <c r="I5" s="217"/>
      <c r="J5" s="28"/>
      <c r="K5" s="87"/>
      <c r="L5" s="87"/>
      <c r="M5" s="10"/>
      <c r="N5" s="10"/>
      <c r="O5" s="10"/>
    </row>
    <row r="6" spans="2:15" s="2" customFormat="1" ht="27" x14ac:dyDescent="0.9">
      <c r="B6" s="218" t="s">
        <v>49</v>
      </c>
      <c r="C6" s="218"/>
      <c r="D6" s="30"/>
      <c r="E6" s="31"/>
      <c r="F6" s="31"/>
      <c r="G6" s="31"/>
      <c r="H6" s="31"/>
      <c r="I6" s="31"/>
      <c r="J6" s="74">
        <f>COUNTIF(E6:I6,DataSet!H19)</f>
        <v>0</v>
      </c>
      <c r="K6" s="87"/>
      <c r="L6" s="87"/>
      <c r="M6" s="10"/>
      <c r="N6" s="10"/>
      <c r="O6" s="10"/>
    </row>
    <row r="7" spans="2:15" s="2" customFormat="1" ht="27" x14ac:dyDescent="0.9">
      <c r="B7" s="217" t="s">
        <v>53</v>
      </c>
      <c r="C7" s="217"/>
      <c r="D7" s="217"/>
      <c r="E7" s="217"/>
      <c r="F7" s="217"/>
      <c r="G7" s="217"/>
      <c r="H7" s="217"/>
      <c r="I7" s="217"/>
      <c r="J7" s="28"/>
      <c r="K7" s="87"/>
      <c r="L7" s="87"/>
      <c r="M7" s="10"/>
      <c r="N7" s="10"/>
      <c r="O7" s="10"/>
    </row>
    <row r="8" spans="2:15" s="2" customFormat="1" ht="27" x14ac:dyDescent="0.9">
      <c r="B8" s="218" t="s">
        <v>49</v>
      </c>
      <c r="C8" s="218"/>
      <c r="D8" s="30"/>
      <c r="E8" s="31"/>
      <c r="F8" s="31"/>
      <c r="G8" s="31"/>
      <c r="H8" s="31"/>
      <c r="I8" s="31"/>
      <c r="J8" s="74">
        <f>COUNTIF(E8:I8,DataSet!H19)</f>
        <v>0</v>
      </c>
      <c r="K8" s="87"/>
      <c r="L8" s="87"/>
      <c r="M8" s="10"/>
      <c r="N8" s="10"/>
      <c r="O8" s="10"/>
    </row>
    <row r="9" spans="2:15" s="2" customFormat="1" ht="27" x14ac:dyDescent="0.9">
      <c r="B9" s="24"/>
      <c r="C9" s="23"/>
      <c r="D9" s="23"/>
      <c r="E9" s="23"/>
      <c r="F9" s="23"/>
      <c r="G9" s="23"/>
      <c r="H9" s="23"/>
      <c r="I9" s="23"/>
      <c r="J9" s="28"/>
      <c r="K9" s="87"/>
      <c r="L9" s="87"/>
      <c r="M9" s="10"/>
      <c r="N9" s="10"/>
      <c r="O9" s="10"/>
    </row>
    <row r="10" spans="2:15" s="2" customFormat="1" ht="27" x14ac:dyDescent="0.9">
      <c r="B10" s="24"/>
      <c r="C10" s="23"/>
      <c r="D10" s="23"/>
      <c r="E10" s="23"/>
      <c r="F10" s="23"/>
      <c r="G10" s="23"/>
      <c r="H10" s="23"/>
      <c r="I10" s="23"/>
      <c r="J10" s="28"/>
      <c r="K10" s="87"/>
      <c r="L10" s="87"/>
      <c r="M10" s="10"/>
      <c r="N10" s="10"/>
      <c r="O10" s="10"/>
    </row>
    <row r="11" spans="2:15" s="2" customFormat="1" ht="27" x14ac:dyDescent="0.9">
      <c r="B11" s="24"/>
      <c r="C11" s="23"/>
      <c r="D11" s="23"/>
      <c r="E11" s="23"/>
      <c r="F11" s="23"/>
      <c r="G11" s="23"/>
      <c r="H11" s="23"/>
      <c r="I11" s="23"/>
      <c r="J11" s="28"/>
      <c r="K11" s="87"/>
      <c r="L11" s="87"/>
      <c r="M11" s="10"/>
      <c r="N11" s="10"/>
      <c r="O11" s="10"/>
    </row>
    <row r="12" spans="2:15" s="2" customFormat="1" ht="27" x14ac:dyDescent="0.9">
      <c r="B12" s="24"/>
      <c r="C12" s="23"/>
      <c r="D12" s="23"/>
      <c r="E12" s="23"/>
      <c r="F12" s="23"/>
      <c r="G12" s="23"/>
      <c r="H12" s="23"/>
      <c r="I12" s="23"/>
      <c r="J12" s="28"/>
      <c r="K12" s="87"/>
      <c r="L12" s="87"/>
      <c r="M12" s="10"/>
      <c r="N12" s="10"/>
      <c r="O12" s="10"/>
    </row>
    <row r="13" spans="2:15" s="2" customFormat="1" ht="27" x14ac:dyDescent="0.9">
      <c r="B13" s="24"/>
      <c r="C13" s="23"/>
      <c r="D13" s="23"/>
      <c r="E13" s="23"/>
      <c r="F13" s="23"/>
      <c r="G13" s="23"/>
      <c r="H13" s="23"/>
      <c r="I13" s="23"/>
      <c r="J13" s="28"/>
      <c r="K13" s="87"/>
      <c r="L13" s="87"/>
      <c r="M13" s="10"/>
      <c r="N13" s="10"/>
      <c r="O13" s="10"/>
    </row>
    <row r="14" spans="2:15" s="2" customFormat="1" ht="23.25" customHeight="1" x14ac:dyDescent="0.9">
      <c r="B14" s="24"/>
      <c r="C14" s="23"/>
      <c r="D14" s="23"/>
      <c r="E14" s="23"/>
      <c r="F14" s="23"/>
      <c r="G14" s="23"/>
      <c r="H14" s="23"/>
      <c r="I14" s="23"/>
      <c r="J14" s="28"/>
      <c r="K14" s="87"/>
      <c r="L14" s="87"/>
      <c r="M14" s="10"/>
      <c r="N14" s="10"/>
      <c r="O14" s="10"/>
    </row>
    <row r="15" spans="2:15" ht="24" customHeight="1" x14ac:dyDescent="0.8">
      <c r="B15" s="22"/>
      <c r="C15" s="21"/>
      <c r="D15" s="21"/>
      <c r="E15" s="21"/>
      <c r="F15" s="21"/>
      <c r="G15" s="21"/>
      <c r="H15" s="21"/>
      <c r="I15" s="21"/>
    </row>
    <row r="16" spans="2:15" ht="24" customHeight="1" x14ac:dyDescent="0.8"/>
    <row r="17" spans="2:2" ht="24" customHeight="1" x14ac:dyDescent="0.8">
      <c r="B17" s="6"/>
    </row>
    <row r="18" spans="2:2" ht="24" customHeight="1" x14ac:dyDescent="0.8">
      <c r="B18" s="6"/>
    </row>
    <row r="19" spans="2:2" ht="24" customHeight="1" x14ac:dyDescent="0.8">
      <c r="B19" s="6"/>
    </row>
    <row r="20" spans="2:2" ht="24" customHeight="1" x14ac:dyDescent="0.8">
      <c r="B20" s="6"/>
    </row>
    <row r="21" spans="2:2" ht="24" customHeight="1" x14ac:dyDescent="0.8">
      <c r="B21" s="6"/>
    </row>
    <row r="22" spans="2:2" ht="24" customHeight="1" x14ac:dyDescent="0.8">
      <c r="B22" s="6"/>
    </row>
    <row r="23" spans="2:2" ht="24" customHeight="1" x14ac:dyDescent="0.8">
      <c r="B23" s="6"/>
    </row>
    <row r="24" spans="2:2" ht="24" customHeight="1" x14ac:dyDescent="0.8">
      <c r="B24" s="6"/>
    </row>
    <row r="25" spans="2:2" ht="24" customHeight="1" x14ac:dyDescent="0.8">
      <c r="B25" s="6"/>
    </row>
    <row r="26" spans="2:2" ht="24" customHeight="1" x14ac:dyDescent="0.8">
      <c r="B26" s="6"/>
    </row>
    <row r="27" spans="2:2" ht="24" customHeight="1" x14ac:dyDescent="0.8">
      <c r="B27" s="6"/>
    </row>
    <row r="28" spans="2:2" ht="24" customHeight="1" x14ac:dyDescent="0.8">
      <c r="B28" s="6"/>
    </row>
    <row r="29" spans="2:2" ht="24" customHeight="1" x14ac:dyDescent="0.8">
      <c r="B29" s="6"/>
    </row>
    <row r="30" spans="2:2" ht="24" customHeight="1" x14ac:dyDescent="0.8">
      <c r="B30" s="6"/>
    </row>
    <row r="31" spans="2:2" ht="24" customHeight="1" x14ac:dyDescent="0.8">
      <c r="B31" s="6"/>
    </row>
    <row r="32" spans="2:2" ht="24" customHeight="1" x14ac:dyDescent="0.8">
      <c r="B32" s="6"/>
    </row>
    <row r="33" spans="2:2" ht="24" customHeight="1" x14ac:dyDescent="0.8">
      <c r="B33" s="6"/>
    </row>
    <row r="34" spans="2:2" ht="24" customHeight="1" x14ac:dyDescent="0.8">
      <c r="B34" s="6"/>
    </row>
    <row r="35" spans="2:2" ht="24" customHeight="1" x14ac:dyDescent="0.8">
      <c r="B35" s="6"/>
    </row>
    <row r="36" spans="2:2" ht="24" customHeight="1" x14ac:dyDescent="0.8">
      <c r="B36" s="6"/>
    </row>
    <row r="37" spans="2:2" ht="24" customHeight="1" x14ac:dyDescent="0.8">
      <c r="B37" s="6"/>
    </row>
    <row r="40" spans="2:2" ht="24" customHeight="1" x14ac:dyDescent="0.8">
      <c r="B40" s="6"/>
    </row>
    <row r="41" spans="2:2" ht="24" customHeight="1" x14ac:dyDescent="0.8">
      <c r="B41" s="6"/>
    </row>
    <row r="42" spans="2:2" ht="24" customHeight="1" x14ac:dyDescent="0.8">
      <c r="B42" s="6"/>
    </row>
    <row r="43" spans="2:2" ht="24" customHeight="1" x14ac:dyDescent="0.8">
      <c r="B43" s="6"/>
    </row>
    <row r="45" spans="2:2" ht="24" customHeight="1" x14ac:dyDescent="0.8">
      <c r="B45" s="6"/>
    </row>
    <row r="46" spans="2:2" ht="24" customHeight="1" x14ac:dyDescent="0.8">
      <c r="B46" s="6"/>
    </row>
  </sheetData>
  <sheetProtection algorithmName="SHA-512" hashValue="jifeQstNHsL2HBbsovuA8S5Gq7lKOtsZ+GS0UjWo61P8uxwTG/4T1Q2YfXHTfYgOM2MkDLjFfY/Ccc7AieB+Rw==" saltValue="SzzzRWu0ph3qFA+JJ3rwdg==" spinCount="100000" sheet="1" objects="1" scenarios="1" selectLockedCells="1"/>
  <mergeCells count="7">
    <mergeCell ref="B7:I7"/>
    <mergeCell ref="B8:C8"/>
    <mergeCell ref="B1:I1"/>
    <mergeCell ref="B4:C4"/>
    <mergeCell ref="B2:C2"/>
    <mergeCell ref="B5:I5"/>
    <mergeCell ref="B6:C6"/>
  </mergeCells>
  <conditionalFormatting sqref="D2:I2">
    <cfRule type="colorScale" priority="10">
      <colorScale>
        <cfvo type="min"/>
        <cfvo type="percentile" val="50"/>
        <cfvo type="max"/>
        <color rgb="FFF8696B"/>
        <color rgb="FFFCFCFF"/>
        <color rgb="FF33CC33"/>
      </colorScale>
    </cfRule>
  </conditionalFormatting>
  <conditionalFormatting sqref="D6:I6">
    <cfRule type="colorScale" priority="8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8:I8">
    <cfRule type="colorScale" priority="7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4 D6 D8">
    <cfRule type="cellIs" dxfId="42" priority="6" operator="equal">
      <formula>"มี"</formula>
    </cfRule>
  </conditionalFormatting>
  <conditionalFormatting sqref="E4 E6 E8">
    <cfRule type="cellIs" dxfId="41" priority="5" operator="equal">
      <formula>"มี"</formula>
    </cfRule>
  </conditionalFormatting>
  <conditionalFormatting sqref="F4 F6 F8">
    <cfRule type="cellIs" dxfId="40" priority="4" operator="equal">
      <formula>"มี"</formula>
    </cfRule>
  </conditionalFormatting>
  <conditionalFormatting sqref="G4 G6 G8">
    <cfRule type="cellIs" dxfId="39" priority="3" operator="equal">
      <formula>"มี"</formula>
    </cfRule>
  </conditionalFormatting>
  <conditionalFormatting sqref="H4 H6 H8">
    <cfRule type="cellIs" dxfId="38" priority="2" operator="equal">
      <formula>"มี"</formula>
    </cfRule>
  </conditionalFormatting>
  <conditionalFormatting sqref="I4 I6 I8">
    <cfRule type="cellIs" dxfId="37" priority="1" operator="equal">
      <formula>"มี"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DataSet!$H$19:$H$20</xm:f>
          </x14:formula1>
          <xm:sqref>D6:I6 D8:I8 D4:I4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CFF"/>
  </sheetPr>
  <dimension ref="B1:R49"/>
  <sheetViews>
    <sheetView showRowColHeaders="0" zoomScaleNormal="100" workbookViewId="0">
      <selection activeCell="D4" sqref="D4"/>
    </sheetView>
  </sheetViews>
  <sheetFormatPr defaultColWidth="8.25" defaultRowHeight="24" x14ac:dyDescent="0.8"/>
  <cols>
    <col min="1" max="1" width="8.25" style="50"/>
    <col min="2" max="2" width="5.25" style="49" customWidth="1"/>
    <col min="3" max="3" width="19.4140625" style="50" customWidth="1"/>
    <col min="4" max="9" width="12.33203125" style="50" customWidth="1"/>
    <col min="10" max="10" width="9.4140625" style="48" customWidth="1"/>
    <col min="11" max="11" width="8.25" style="175"/>
    <col min="12" max="17" width="8.25" style="59"/>
    <col min="18" max="18" width="8.25" style="49"/>
    <col min="19" max="16384" width="8.25" style="50"/>
  </cols>
  <sheetData>
    <row r="1" spans="2:18" s="34" customFormat="1" ht="30" x14ac:dyDescent="1">
      <c r="B1" s="221" t="s">
        <v>54</v>
      </c>
      <c r="C1" s="221"/>
      <c r="D1" s="221"/>
      <c r="E1" s="221"/>
      <c r="F1" s="221"/>
      <c r="G1" s="221"/>
      <c r="H1" s="221"/>
      <c r="I1" s="221"/>
      <c r="J1" s="32"/>
      <c r="K1" s="54"/>
      <c r="L1" s="54"/>
      <c r="M1" s="54"/>
      <c r="N1" s="54"/>
      <c r="O1" s="54"/>
      <c r="P1" s="54"/>
      <c r="Q1" s="54"/>
      <c r="R1" s="33"/>
    </row>
    <row r="2" spans="2:18" s="34" customFormat="1" ht="30" x14ac:dyDescent="1">
      <c r="B2" s="224" t="s">
        <v>51</v>
      </c>
      <c r="C2" s="224"/>
      <c r="D2" s="33">
        <v>0</v>
      </c>
      <c r="E2" s="33">
        <v>1</v>
      </c>
      <c r="F2" s="33">
        <v>2</v>
      </c>
      <c r="G2" s="33">
        <v>3</v>
      </c>
      <c r="H2" s="33">
        <v>4</v>
      </c>
      <c r="I2" s="33">
        <v>5</v>
      </c>
      <c r="J2" s="32"/>
      <c r="K2" s="54"/>
      <c r="L2" s="54"/>
      <c r="M2" s="54"/>
      <c r="N2" s="54"/>
      <c r="O2" s="54"/>
      <c r="P2" s="54"/>
      <c r="Q2" s="54"/>
      <c r="R2" s="33"/>
    </row>
    <row r="3" spans="2:18" s="38" customFormat="1" ht="27" x14ac:dyDescent="0.9">
      <c r="B3" s="35" t="s">
        <v>55</v>
      </c>
      <c r="C3" s="35"/>
      <c r="D3" s="35"/>
      <c r="E3" s="35"/>
      <c r="F3" s="35"/>
      <c r="G3" s="35"/>
      <c r="H3" s="35"/>
      <c r="I3" s="35"/>
      <c r="J3" s="36"/>
      <c r="K3" s="82"/>
      <c r="L3" s="82"/>
      <c r="M3" s="82"/>
      <c r="N3" s="82"/>
      <c r="O3" s="82"/>
      <c r="P3" s="82"/>
      <c r="Q3" s="82"/>
      <c r="R3" s="37"/>
    </row>
    <row r="4" spans="2:18" s="41" customFormat="1" ht="27" x14ac:dyDescent="0.9">
      <c r="B4" s="225" t="s">
        <v>49</v>
      </c>
      <c r="C4" s="225"/>
      <c r="D4" s="30"/>
      <c r="E4" s="31"/>
      <c r="F4" s="31"/>
      <c r="G4" s="31"/>
      <c r="H4" s="31"/>
      <c r="I4" s="31"/>
      <c r="J4" s="55">
        <f>COUNTIF(E4:I4,DataSet!H19)</f>
        <v>0</v>
      </c>
      <c r="K4" s="56"/>
      <c r="L4" s="227" t="s">
        <v>70</v>
      </c>
      <c r="M4" s="227"/>
      <c r="N4" s="227"/>
      <c r="O4" s="228" t="s">
        <v>71</v>
      </c>
      <c r="P4" s="228"/>
      <c r="Q4" s="228"/>
      <c r="R4" s="40"/>
    </row>
    <row r="5" spans="2:18" s="41" customFormat="1" ht="27" x14ac:dyDescent="0.9">
      <c r="B5" s="226" t="s">
        <v>56</v>
      </c>
      <c r="C5" s="226"/>
      <c r="D5" s="226"/>
      <c r="E5" s="226"/>
      <c r="F5" s="226"/>
      <c r="G5" s="226"/>
      <c r="H5" s="226"/>
      <c r="I5" s="226"/>
      <c r="J5" s="86"/>
      <c r="K5" s="197"/>
      <c r="L5" s="85" t="s">
        <v>32</v>
      </c>
      <c r="M5" s="85" t="s">
        <v>68</v>
      </c>
      <c r="N5" s="85" t="s">
        <v>69</v>
      </c>
      <c r="O5" s="86" t="s">
        <v>32</v>
      </c>
      <c r="P5" s="86" t="s">
        <v>68</v>
      </c>
      <c r="Q5" s="86" t="s">
        <v>69</v>
      </c>
      <c r="R5" s="40"/>
    </row>
    <row r="6" spans="2:18" s="41" customFormat="1" ht="27" x14ac:dyDescent="0.9">
      <c r="B6" s="42"/>
      <c r="C6" s="222" t="s">
        <v>58</v>
      </c>
      <c r="D6" s="222"/>
      <c r="E6" s="222"/>
      <c r="F6" s="222"/>
      <c r="G6" s="223" t="s">
        <v>65</v>
      </c>
      <c r="H6" s="223"/>
      <c r="I6" s="30"/>
      <c r="J6" s="57" t="e">
        <f>IF(DataSet!C3=DataSet!D19,'องค์ 4'!O6,IF(DataSet!C3=DataSet!D20,'องค์ 4'!P6,'องค์ 4'!Q6))</f>
        <v>#DIV/0!</v>
      </c>
      <c r="K6" s="58" t="e">
        <f>AVERAGE(J6:J8)</f>
        <v>#DIV/0!</v>
      </c>
      <c r="L6" s="60" t="e">
        <f>(I6*100)/DataSet!G23</f>
        <v>#DIV/0!</v>
      </c>
      <c r="M6" s="60" t="e">
        <f>(I6*100)/DataSet!G23</f>
        <v>#DIV/0!</v>
      </c>
      <c r="N6" s="60" t="e">
        <f>(I6*100)/DataSet!G23</f>
        <v>#DIV/0!</v>
      </c>
      <c r="O6" s="57" t="e">
        <f>IF(L6&gt;20,5,((L6*5)/20))</f>
        <v>#DIV/0!</v>
      </c>
      <c r="P6" s="57" t="e">
        <f>IF(L6&gt;60,5,((L6*5)/60))</f>
        <v>#DIV/0!</v>
      </c>
      <c r="Q6" s="57" t="e">
        <f>IF(L6&gt;100,5,((L6*5)/100))</f>
        <v>#DIV/0!</v>
      </c>
      <c r="R6" s="40"/>
    </row>
    <row r="7" spans="2:18" s="41" customFormat="1" ht="27" x14ac:dyDescent="0.9">
      <c r="B7" s="44"/>
      <c r="C7" s="222" t="s">
        <v>66</v>
      </c>
      <c r="D7" s="222"/>
      <c r="E7" s="222"/>
      <c r="F7" s="222"/>
      <c r="G7" s="223" t="s">
        <v>65</v>
      </c>
      <c r="H7" s="223"/>
      <c r="I7" s="51"/>
      <c r="J7" s="57" t="e">
        <f>IF(DataSet!C3=DataSet!D19,'องค์ 4'!O7,IF(DataSet!C3=DataSet!D20,'องค์ 4'!P7,'องค์ 4'!Q7))</f>
        <v>#DIV/0!</v>
      </c>
      <c r="K7" s="77" t="e">
        <f>AVERAGE(J6:J9)</f>
        <v>#DIV/0!</v>
      </c>
      <c r="L7" s="60" t="e">
        <f>(I7*100)/DataSet!G23</f>
        <v>#DIV/0!</v>
      </c>
      <c r="M7" s="60" t="e">
        <f>(I7*100)/DataSet!G23</f>
        <v>#DIV/0!</v>
      </c>
      <c r="N7" s="60" t="e">
        <f>(I7*100)/DataSet!G23</f>
        <v>#DIV/0!</v>
      </c>
      <c r="O7" s="57" t="e">
        <f>IF(L7&gt;60,5,((L7*5)/60))</f>
        <v>#DIV/0!</v>
      </c>
      <c r="P7" s="57" t="e">
        <f>IF(M7&gt;80,5,((M7*5)/80))</f>
        <v>#DIV/0!</v>
      </c>
      <c r="Q7" s="57" t="e">
        <f>IF(N7&gt;100,5,((N7*5)/100))</f>
        <v>#DIV/0!</v>
      </c>
      <c r="R7" s="40"/>
    </row>
    <row r="8" spans="2:18" s="41" customFormat="1" ht="27" x14ac:dyDescent="0.9">
      <c r="B8" s="44"/>
      <c r="C8" s="222" t="s">
        <v>81</v>
      </c>
      <c r="D8" s="222"/>
      <c r="E8" s="222"/>
      <c r="F8" s="53" t="s">
        <v>80</v>
      </c>
      <c r="G8" s="30"/>
      <c r="H8" s="46" t="s">
        <v>79</v>
      </c>
      <c r="I8" s="51"/>
      <c r="J8" s="57" t="e">
        <f>IF(DataSet!C3=DataSet!D19,O8,IF(DataSet!C3=DataSet!D20,P8,Q8))</f>
        <v>#DIV/0!</v>
      </c>
      <c r="K8" s="61" t="e">
        <f>(I8/DataSet!G23)*100</f>
        <v>#DIV/0!</v>
      </c>
      <c r="L8" s="85" t="e">
        <f>(K8*5)/20</f>
        <v>#DIV/0!</v>
      </c>
      <c r="M8" s="85" t="e">
        <f>(K8*5)/40</f>
        <v>#DIV/0!</v>
      </c>
      <c r="N8" s="85" t="e">
        <f>(K8*5)/60</f>
        <v>#DIV/0!</v>
      </c>
      <c r="O8" s="62" t="e">
        <f>IF(L8&gt;20,5,((L8*5)/20))</f>
        <v>#DIV/0!</v>
      </c>
      <c r="P8" s="57" t="e">
        <f>IF(M8&gt;40,5,((M8*5)/40))</f>
        <v>#DIV/0!</v>
      </c>
      <c r="Q8" s="57" t="e">
        <f>IF(N8&gt;60,5,((N8*5)/60))</f>
        <v>#DIV/0!</v>
      </c>
      <c r="R8" s="40"/>
    </row>
    <row r="9" spans="2:18" s="41" customFormat="1" ht="27" x14ac:dyDescent="0.9">
      <c r="B9" s="44"/>
      <c r="C9" s="222" t="str">
        <f>IF(DataSet!C3=DataSet!D21,"4.2 (4) จำนวนบทความอาจารย์ประจำหลักสูตร ป.เอก"," ")</f>
        <v xml:space="preserve"> </v>
      </c>
      <c r="D9" s="222"/>
      <c r="E9" s="222"/>
      <c r="F9" s="53" t="str">
        <f>IF(DataSet!C3=DataSet!D21,"จำนวนบทความ"," ")</f>
        <v xml:space="preserve"> </v>
      </c>
      <c r="G9" s="51"/>
      <c r="H9" s="52"/>
      <c r="I9" s="43"/>
      <c r="J9" s="57" t="str">
        <f>IF(DataSet!K4=DataSet!N29,'องค์ 4'!O10,IF(DataSet!K4=DataSet!N28,'องค์ 4'!P10,'องค์ 4'!Q10))</f>
        <v xml:space="preserve"> </v>
      </c>
      <c r="K9" s="56"/>
      <c r="L9" s="56" t="s">
        <v>76</v>
      </c>
      <c r="M9" s="56" t="s">
        <v>77</v>
      </c>
      <c r="N9" s="56" t="s">
        <v>78</v>
      </c>
      <c r="O9" s="63" t="s">
        <v>76</v>
      </c>
      <c r="P9" s="63" t="s">
        <v>77</v>
      </c>
      <c r="Q9" s="63" t="s">
        <v>78</v>
      </c>
      <c r="R9" s="40"/>
    </row>
    <row r="10" spans="2:18" s="41" customFormat="1" ht="27" x14ac:dyDescent="0.9">
      <c r="B10" s="226" t="s">
        <v>57</v>
      </c>
      <c r="C10" s="226"/>
      <c r="D10" s="226"/>
      <c r="E10" s="226"/>
      <c r="F10" s="226"/>
      <c r="G10" s="226"/>
      <c r="H10" s="226"/>
      <c r="I10" s="226"/>
      <c r="J10" s="86"/>
      <c r="K10" s="56" t="e">
        <f>G9/DataSet!G23</f>
        <v>#DIV/0!</v>
      </c>
      <c r="L10" s="85" t="e">
        <f>(K10*5)/0.25</f>
        <v>#DIV/0!</v>
      </c>
      <c r="M10" s="85" t="e">
        <f>(K10*5)/3</f>
        <v>#DIV/0!</v>
      </c>
      <c r="N10" s="61" t="e">
        <f>(K10*5)/2.5</f>
        <v>#DIV/0!</v>
      </c>
      <c r="O10" s="64" t="str">
        <f>IF(DataSet!C3=DataSet!D21,'องค์ 4'!L10," ")</f>
        <v xml:space="preserve"> </v>
      </c>
      <c r="P10" s="86" t="str">
        <f>IF(DataSet!C3=DataSet!D21,'องค์ 4'!M10," ")</f>
        <v xml:space="preserve"> </v>
      </c>
      <c r="Q10" s="86" t="str">
        <f>IF(DataSet!C3=DataSet!D21,'องค์ 4'!N10," ")</f>
        <v xml:space="preserve"> </v>
      </c>
      <c r="R10" s="40"/>
    </row>
    <row r="11" spans="2:18" s="41" customFormat="1" ht="27" x14ac:dyDescent="0.9">
      <c r="B11" s="225" t="s">
        <v>49</v>
      </c>
      <c r="C11" s="225"/>
      <c r="D11" s="30"/>
      <c r="E11" s="31"/>
      <c r="F11" s="31"/>
      <c r="G11" s="31"/>
      <c r="H11" s="31"/>
      <c r="I11" s="31"/>
      <c r="J11" s="55">
        <f>COUNTIF(E11:I11,DataSet!H19)</f>
        <v>0</v>
      </c>
      <c r="K11" s="56"/>
      <c r="L11" s="85"/>
      <c r="M11" s="85"/>
      <c r="N11" s="85"/>
      <c r="O11" s="85"/>
      <c r="P11" s="85"/>
      <c r="Q11" s="85"/>
      <c r="R11" s="40"/>
    </row>
    <row r="12" spans="2:18" s="41" customFormat="1" ht="27" x14ac:dyDescent="0.9">
      <c r="B12" s="44"/>
      <c r="C12" s="45"/>
      <c r="D12" s="45"/>
      <c r="E12" s="45"/>
      <c r="F12" s="45"/>
      <c r="G12" s="45"/>
      <c r="H12" s="45"/>
      <c r="I12" s="45"/>
      <c r="J12" s="86"/>
      <c r="K12" s="174"/>
      <c r="L12" s="85"/>
      <c r="M12" s="85"/>
      <c r="N12" s="85"/>
      <c r="O12" s="85"/>
      <c r="P12" s="85"/>
      <c r="Q12" s="85"/>
      <c r="R12" s="40"/>
    </row>
    <row r="13" spans="2:18" s="41" customFormat="1" ht="27" x14ac:dyDescent="0.9">
      <c r="B13" s="44"/>
      <c r="C13" s="45"/>
      <c r="D13" s="45"/>
      <c r="E13" s="45"/>
      <c r="F13" s="45"/>
      <c r="G13" s="45"/>
      <c r="H13" s="45"/>
      <c r="I13" s="45"/>
      <c r="J13" s="86"/>
      <c r="K13" s="174"/>
      <c r="L13" s="85"/>
      <c r="M13" s="85"/>
      <c r="N13" s="85"/>
      <c r="O13" s="85"/>
      <c r="P13" s="85"/>
      <c r="Q13" s="85"/>
      <c r="R13" s="40"/>
    </row>
    <row r="14" spans="2:18" s="41" customFormat="1" ht="27" x14ac:dyDescent="0.9">
      <c r="B14" s="44"/>
      <c r="C14" s="45"/>
      <c r="D14" s="45"/>
      <c r="E14" s="45"/>
      <c r="F14" s="45"/>
      <c r="G14" s="45"/>
      <c r="H14" s="45"/>
      <c r="I14" s="45"/>
      <c r="J14" s="86"/>
      <c r="K14" s="174"/>
      <c r="L14" s="85"/>
      <c r="M14" s="85"/>
      <c r="N14" s="85"/>
      <c r="O14" s="85"/>
      <c r="P14" s="85"/>
      <c r="Q14" s="85"/>
      <c r="R14" s="40"/>
    </row>
    <row r="15" spans="2:18" s="41" customFormat="1" ht="27" x14ac:dyDescent="0.9">
      <c r="B15" s="44"/>
      <c r="C15" s="45"/>
      <c r="D15" s="45"/>
      <c r="E15" s="45"/>
      <c r="F15" s="45"/>
      <c r="G15" s="45"/>
      <c r="H15" s="45"/>
      <c r="I15" s="45"/>
      <c r="J15" s="86"/>
      <c r="K15" s="174"/>
      <c r="L15" s="85"/>
      <c r="M15" s="85"/>
      <c r="N15" s="85"/>
      <c r="O15" s="85"/>
      <c r="P15" s="85"/>
      <c r="Q15" s="85"/>
      <c r="R15" s="40"/>
    </row>
    <row r="16" spans="2:18" s="41" customFormat="1" ht="27" x14ac:dyDescent="0.9">
      <c r="B16" s="44"/>
      <c r="C16" s="45"/>
      <c r="D16" s="45"/>
      <c r="E16" s="45"/>
      <c r="F16" s="45"/>
      <c r="G16" s="45"/>
      <c r="H16" s="45"/>
      <c r="I16" s="45"/>
      <c r="J16" s="86"/>
      <c r="K16" s="174"/>
      <c r="L16" s="85"/>
      <c r="M16" s="85"/>
      <c r="N16" s="85"/>
      <c r="O16" s="85"/>
      <c r="P16" s="85"/>
      <c r="Q16" s="85"/>
      <c r="R16" s="40"/>
    </row>
    <row r="17" spans="2:18" s="41" customFormat="1" ht="23.25" customHeight="1" x14ac:dyDescent="0.9">
      <c r="B17" s="44"/>
      <c r="C17" s="45"/>
      <c r="D17" s="45"/>
      <c r="E17" s="45"/>
      <c r="F17" s="45"/>
      <c r="G17" s="45"/>
      <c r="H17" s="45"/>
      <c r="I17" s="45"/>
      <c r="J17" s="86"/>
      <c r="K17" s="174"/>
      <c r="L17" s="85"/>
      <c r="M17" s="85"/>
      <c r="N17" s="85"/>
      <c r="O17" s="85"/>
      <c r="P17" s="85"/>
      <c r="Q17" s="85"/>
      <c r="R17" s="40"/>
    </row>
    <row r="18" spans="2:18" ht="24" customHeight="1" x14ac:dyDescent="0.8">
      <c r="B18" s="46"/>
      <c r="C18" s="47"/>
      <c r="D18" s="47"/>
      <c r="E18" s="47"/>
      <c r="F18" s="47"/>
      <c r="G18" s="47"/>
      <c r="H18" s="47"/>
      <c r="I18" s="47"/>
    </row>
    <row r="19" spans="2:18" ht="24" customHeight="1" x14ac:dyDescent="0.8"/>
    <row r="20" spans="2:18" ht="24" customHeight="1" x14ac:dyDescent="0.8">
      <c r="B20" s="50"/>
    </row>
    <row r="21" spans="2:18" ht="24" customHeight="1" x14ac:dyDescent="0.8">
      <c r="B21" s="50"/>
    </row>
    <row r="22" spans="2:18" ht="24" customHeight="1" x14ac:dyDescent="0.8">
      <c r="B22" s="50"/>
    </row>
    <row r="23" spans="2:18" ht="24" customHeight="1" x14ac:dyDescent="0.8">
      <c r="B23" s="50"/>
    </row>
    <row r="24" spans="2:18" ht="24" customHeight="1" x14ac:dyDescent="0.8">
      <c r="B24" s="50"/>
    </row>
    <row r="25" spans="2:18" ht="24" customHeight="1" x14ac:dyDescent="0.8">
      <c r="B25" s="50"/>
    </row>
    <row r="26" spans="2:18" ht="24" customHeight="1" x14ac:dyDescent="0.8">
      <c r="B26" s="50"/>
    </row>
    <row r="27" spans="2:18" ht="24" customHeight="1" x14ac:dyDescent="0.8">
      <c r="B27" s="50"/>
    </row>
    <row r="28" spans="2:18" ht="24" customHeight="1" x14ac:dyDescent="0.8">
      <c r="B28" s="50"/>
    </row>
    <row r="29" spans="2:18" ht="24" customHeight="1" x14ac:dyDescent="0.8">
      <c r="B29" s="50"/>
    </row>
    <row r="30" spans="2:18" ht="24" customHeight="1" x14ac:dyDescent="0.8">
      <c r="B30" s="50"/>
    </row>
    <row r="31" spans="2:18" ht="24" customHeight="1" x14ac:dyDescent="0.8">
      <c r="B31" s="50"/>
    </row>
    <row r="32" spans="2:18" ht="24" customHeight="1" x14ac:dyDescent="0.8">
      <c r="B32" s="50"/>
    </row>
    <row r="33" spans="2:2" ht="24" customHeight="1" x14ac:dyDescent="0.8">
      <c r="B33" s="50"/>
    </row>
    <row r="34" spans="2:2" ht="24" customHeight="1" x14ac:dyDescent="0.8">
      <c r="B34" s="50"/>
    </row>
    <row r="35" spans="2:2" ht="24" customHeight="1" x14ac:dyDescent="0.8">
      <c r="B35" s="50"/>
    </row>
    <row r="36" spans="2:2" ht="24" customHeight="1" x14ac:dyDescent="0.8">
      <c r="B36" s="50"/>
    </row>
    <row r="37" spans="2:2" ht="24" customHeight="1" x14ac:dyDescent="0.8">
      <c r="B37" s="50"/>
    </row>
    <row r="38" spans="2:2" ht="24" customHeight="1" x14ac:dyDescent="0.8">
      <c r="B38" s="50"/>
    </row>
    <row r="39" spans="2:2" ht="24" customHeight="1" x14ac:dyDescent="0.8">
      <c r="B39" s="50"/>
    </row>
    <row r="40" spans="2:2" ht="24" customHeight="1" x14ac:dyDescent="0.8">
      <c r="B40" s="50"/>
    </row>
    <row r="43" spans="2:2" ht="24" customHeight="1" x14ac:dyDescent="0.8">
      <c r="B43" s="50"/>
    </row>
    <row r="44" spans="2:2" ht="24" customHeight="1" x14ac:dyDescent="0.8">
      <c r="B44" s="50"/>
    </row>
    <row r="45" spans="2:2" ht="24" customHeight="1" x14ac:dyDescent="0.8">
      <c r="B45" s="50"/>
    </row>
    <row r="46" spans="2:2" ht="24" customHeight="1" x14ac:dyDescent="0.8">
      <c r="B46" s="50"/>
    </row>
    <row r="48" spans="2:2" ht="24" customHeight="1" x14ac:dyDescent="0.8">
      <c r="B48" s="50"/>
    </row>
    <row r="49" spans="2:2" ht="24" customHeight="1" x14ac:dyDescent="0.8">
      <c r="B49" s="50"/>
    </row>
  </sheetData>
  <sheetProtection algorithmName="SHA-512" hashValue="7bPzDaG19Q2jD+lk/oCFv85ifJ9tksRGotgWahXjcqU4mRyeFqsppxX5aTSxwS4swap6i7uoxY07B2Zyx5Jcmw==" saltValue="6f6XEwp3IWMzg+/WRdQbOw==" spinCount="100000" sheet="1" objects="1" scenarios="1" selectLockedCells="1"/>
  <mergeCells count="14">
    <mergeCell ref="B10:I10"/>
    <mergeCell ref="B11:C11"/>
    <mergeCell ref="C9:E9"/>
    <mergeCell ref="L4:N4"/>
    <mergeCell ref="O4:Q4"/>
    <mergeCell ref="C8:E8"/>
    <mergeCell ref="B1:I1"/>
    <mergeCell ref="C6:F6"/>
    <mergeCell ref="C7:F7"/>
    <mergeCell ref="G6:H6"/>
    <mergeCell ref="G7:H7"/>
    <mergeCell ref="B2:C2"/>
    <mergeCell ref="B4:C4"/>
    <mergeCell ref="B5:I5"/>
  </mergeCells>
  <conditionalFormatting sqref="D2:I2">
    <cfRule type="colorScale" priority="10">
      <colorScale>
        <cfvo type="min"/>
        <cfvo type="percentile" val="50"/>
        <cfvo type="max"/>
        <color rgb="FFF8696B"/>
        <color rgb="FFFCFCFF"/>
        <color rgb="FF33CC33"/>
      </colorScale>
    </cfRule>
  </conditionalFormatting>
  <conditionalFormatting sqref="D11:I11">
    <cfRule type="colorScale" priority="7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4 G6:G9 I6:I9 D11:I11">
    <cfRule type="cellIs" dxfId="36" priority="6" operator="equal">
      <formula>"มี"</formula>
    </cfRule>
  </conditionalFormatting>
  <conditionalFormatting sqref="E4:I4 E11:I11">
    <cfRule type="cellIs" dxfId="35" priority="5" operator="equal">
      <formula>"มี"</formula>
    </cfRule>
  </conditionalFormatting>
  <conditionalFormatting sqref="F11 F4:I4">
    <cfRule type="cellIs" dxfId="34" priority="4" operator="equal">
      <formula>"มี"</formula>
    </cfRule>
  </conditionalFormatting>
  <conditionalFormatting sqref="G4 G11 G6:G9">
    <cfRule type="cellIs" dxfId="33" priority="3" operator="equal">
      <formula>"มี"</formula>
    </cfRule>
  </conditionalFormatting>
  <conditionalFormatting sqref="H4 H11 I6:I7">
    <cfRule type="cellIs" dxfId="32" priority="2" operator="equal">
      <formula>"มี"</formula>
    </cfRule>
  </conditionalFormatting>
  <conditionalFormatting sqref="I4 I8:I9 I11">
    <cfRule type="cellIs" dxfId="31" priority="1" operator="equal">
      <formula>"มี"</formula>
    </cfRule>
  </conditionalFormatting>
  <dataValidations count="4">
    <dataValidation allowBlank="1" showInputMessage="1" showErrorMessage="1" prompt="จำนวนบทความที่ได้รับการอ้างอิง" sqref="G9" xr:uid="{00000000-0002-0000-0500-000000000000}"/>
    <dataValidation allowBlank="1" showInputMessage="1" showErrorMessage="1" prompt="จำนวนผลงานวิชาการทั้งหมด (รวมงานสร้างสรรค์)" sqref="G8" xr:uid="{00000000-0002-0000-0500-000001000000}"/>
    <dataValidation allowBlank="1" showInputMessage="1" showErrorMessage="1" prompt="นับเฉพาะอาจารย์ผู้รับผิดชอบหลักสูตร" sqref="I6:I7" xr:uid="{00000000-0002-0000-0500-000002000000}"/>
    <dataValidation allowBlank="1" showInputMessage="1" showErrorMessage="1" prompt="นับเฉพาะผลงานของอาจารย์ผู้รับผิดชอบหลักสูตร" sqref="I8" xr:uid="{00000000-0002-0000-0500-000003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DataSet!$H$19:$H$20</xm:f>
          </x14:formula1>
          <xm:sqref>D11:I11 D4:I4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99"/>
  </sheetPr>
  <dimension ref="B1:O46"/>
  <sheetViews>
    <sheetView showRowColHeaders="0" zoomScaleNormal="100" workbookViewId="0">
      <selection activeCell="D4" sqref="D4"/>
    </sheetView>
  </sheetViews>
  <sheetFormatPr defaultColWidth="8.25" defaultRowHeight="24" x14ac:dyDescent="0.8"/>
  <cols>
    <col min="1" max="1" width="8.25" style="50"/>
    <col min="2" max="2" width="5.25" style="49" customWidth="1"/>
    <col min="3" max="3" width="21.75" style="50" customWidth="1"/>
    <col min="4" max="8" width="13.25" style="50" customWidth="1"/>
    <col min="9" max="9" width="13.25" style="100" customWidth="1"/>
    <col min="10" max="10" width="18.33203125" style="171" bestFit="1" customWidth="1"/>
    <col min="11" max="11" width="2.75" style="175" customWidth="1"/>
    <col min="12" max="12" width="6.25" style="175" customWidth="1"/>
    <col min="13" max="13" width="6.4140625" style="59" bestFit="1" customWidth="1"/>
    <col min="14" max="15" width="8.25" style="59"/>
    <col min="16" max="16384" width="8.25" style="50"/>
  </cols>
  <sheetData>
    <row r="1" spans="2:15" s="34" customFormat="1" ht="30" x14ac:dyDescent="1">
      <c r="B1" s="231" t="s">
        <v>82</v>
      </c>
      <c r="C1" s="231"/>
      <c r="D1" s="231"/>
      <c r="E1" s="231"/>
      <c r="F1" s="231"/>
      <c r="G1" s="231"/>
      <c r="H1" s="231"/>
      <c r="I1" s="231"/>
      <c r="J1" s="168"/>
      <c r="K1" s="172"/>
      <c r="L1" s="172"/>
      <c r="M1" s="54"/>
      <c r="N1" s="54"/>
      <c r="O1" s="54"/>
    </row>
    <row r="2" spans="2:15" s="34" customFormat="1" ht="30" x14ac:dyDescent="1">
      <c r="B2" s="224" t="s">
        <v>51</v>
      </c>
      <c r="C2" s="224"/>
      <c r="D2" s="33">
        <v>0</v>
      </c>
      <c r="E2" s="33">
        <v>1</v>
      </c>
      <c r="F2" s="33">
        <v>2</v>
      </c>
      <c r="G2" s="33">
        <v>3</v>
      </c>
      <c r="H2" s="33">
        <v>4</v>
      </c>
      <c r="I2" s="97">
        <v>5</v>
      </c>
      <c r="J2" s="168"/>
      <c r="K2" s="172"/>
      <c r="L2" s="172"/>
      <c r="M2" s="54"/>
      <c r="N2" s="54"/>
      <c r="O2" s="54"/>
    </row>
    <row r="3" spans="2:15" s="38" customFormat="1" ht="27" x14ac:dyDescent="0.9">
      <c r="B3" s="35" t="s">
        <v>83</v>
      </c>
      <c r="C3" s="35"/>
      <c r="D3" s="35"/>
      <c r="E3" s="35"/>
      <c r="F3" s="35"/>
      <c r="G3" s="35"/>
      <c r="H3" s="35"/>
      <c r="I3" s="83"/>
      <c r="J3" s="169"/>
      <c r="K3" s="173"/>
      <c r="L3" s="173"/>
      <c r="M3" s="82"/>
      <c r="N3" s="82"/>
      <c r="O3" s="82"/>
    </row>
    <row r="4" spans="2:15" s="41" customFormat="1" ht="27" x14ac:dyDescent="0.9">
      <c r="B4" s="225" t="s">
        <v>49</v>
      </c>
      <c r="C4" s="225"/>
      <c r="D4" s="65"/>
      <c r="E4" s="30"/>
      <c r="F4" s="31"/>
      <c r="G4" s="31"/>
      <c r="H4" s="31"/>
      <c r="I4" s="98"/>
      <c r="J4" s="57">
        <f>COUNTIF(E4:I4,DataSet!H19)</f>
        <v>0</v>
      </c>
      <c r="K4" s="177"/>
      <c r="L4" s="177"/>
      <c r="M4" s="85"/>
      <c r="N4" s="85"/>
      <c r="O4" s="85"/>
    </row>
    <row r="5" spans="2:15" s="41" customFormat="1" ht="27" x14ac:dyDescent="0.9">
      <c r="B5" s="226" t="s">
        <v>84</v>
      </c>
      <c r="C5" s="226"/>
      <c r="D5" s="226"/>
      <c r="E5" s="226"/>
      <c r="F5" s="226"/>
      <c r="G5" s="226"/>
      <c r="H5" s="226"/>
      <c r="I5" s="226"/>
      <c r="J5" s="57"/>
      <c r="K5" s="177"/>
      <c r="L5" s="177"/>
      <c r="M5" s="85"/>
      <c r="N5" s="85"/>
      <c r="O5" s="85"/>
    </row>
    <row r="6" spans="2:15" s="41" customFormat="1" ht="27" x14ac:dyDescent="0.9">
      <c r="B6" s="225" t="s">
        <v>49</v>
      </c>
      <c r="C6" s="225"/>
      <c r="D6" s="65"/>
      <c r="E6" s="76"/>
      <c r="F6" s="76"/>
      <c r="G6" s="76"/>
      <c r="H6" s="76"/>
      <c r="I6" s="94"/>
      <c r="J6" s="57">
        <f>COUNTIF(E6:I6,DataSet!H19)</f>
        <v>0</v>
      </c>
      <c r="K6" s="177"/>
      <c r="L6" s="177"/>
      <c r="M6" s="85"/>
      <c r="N6" s="85"/>
      <c r="O6" s="85"/>
    </row>
    <row r="7" spans="2:15" s="41" customFormat="1" ht="27" x14ac:dyDescent="0.9">
      <c r="B7" s="226" t="s">
        <v>85</v>
      </c>
      <c r="C7" s="226"/>
      <c r="D7" s="226"/>
      <c r="E7" s="226"/>
      <c r="F7" s="226"/>
      <c r="G7" s="226"/>
      <c r="H7" s="226"/>
      <c r="I7" s="226"/>
      <c r="J7" s="57"/>
      <c r="K7" s="177"/>
      <c r="L7" s="177"/>
      <c r="M7" s="85"/>
      <c r="N7" s="85"/>
      <c r="O7" s="85"/>
    </row>
    <row r="8" spans="2:15" s="41" customFormat="1" ht="27" x14ac:dyDescent="0.9">
      <c r="B8" s="225" t="s">
        <v>49</v>
      </c>
      <c r="C8" s="225"/>
      <c r="D8" s="65"/>
      <c r="E8" s="76"/>
      <c r="F8" s="76"/>
      <c r="G8" s="76"/>
      <c r="H8" s="31"/>
      <c r="I8" s="98"/>
      <c r="J8" s="57">
        <f>COUNTIF(E8:I8,DataSet!H19)</f>
        <v>0</v>
      </c>
      <c r="K8" s="177"/>
      <c r="L8" s="177"/>
      <c r="M8" s="85"/>
      <c r="N8" s="85"/>
      <c r="O8" s="85"/>
    </row>
    <row r="9" spans="2:15" s="41" customFormat="1" ht="27" x14ac:dyDescent="0.9">
      <c r="B9" s="226" t="s">
        <v>86</v>
      </c>
      <c r="C9" s="226"/>
      <c r="D9" s="226"/>
      <c r="E9" s="226"/>
      <c r="F9" s="226"/>
      <c r="G9" s="226"/>
      <c r="H9" s="226"/>
      <c r="I9" s="226"/>
      <c r="J9" s="178"/>
      <c r="K9" s="177"/>
      <c r="L9" s="177"/>
      <c r="M9" s="85"/>
      <c r="N9" s="85"/>
      <c r="O9" s="85"/>
    </row>
    <row r="10" spans="2:15" s="41" customFormat="1" ht="27" x14ac:dyDescent="0.9">
      <c r="B10" s="42"/>
      <c r="C10" s="42" t="s">
        <v>144</v>
      </c>
      <c r="D10" s="43"/>
      <c r="E10" s="43"/>
      <c r="F10" s="43"/>
      <c r="G10" s="75" t="s">
        <v>145</v>
      </c>
      <c r="H10" s="30"/>
      <c r="I10" s="84"/>
      <c r="J10" s="180" t="s">
        <v>160</v>
      </c>
      <c r="K10" s="177"/>
      <c r="L10" s="177">
        <f>COUNTIF(H12:H26,"มี")</f>
        <v>0</v>
      </c>
      <c r="M10" s="85" t="s">
        <v>147</v>
      </c>
      <c r="N10" s="85"/>
      <c r="O10" s="85"/>
    </row>
    <row r="11" spans="2:15" s="41" customFormat="1" ht="27" x14ac:dyDescent="0.9">
      <c r="B11" s="44"/>
      <c r="C11" s="45" t="s">
        <v>148</v>
      </c>
      <c r="D11" s="45"/>
      <c r="E11" s="45"/>
      <c r="F11" s="45"/>
      <c r="G11" s="75" t="s">
        <v>65</v>
      </c>
      <c r="H11" s="51"/>
      <c r="I11" s="42" t="s">
        <v>147</v>
      </c>
      <c r="J11" s="180" t="s">
        <v>162</v>
      </c>
      <c r="K11" s="181"/>
      <c r="L11" s="177" t="e">
        <f>(L10*100)/H11</f>
        <v>#DIV/0!</v>
      </c>
      <c r="M11" s="85"/>
      <c r="N11" s="85"/>
      <c r="O11" s="85"/>
    </row>
    <row r="12" spans="2:15" s="41" customFormat="1" ht="27" x14ac:dyDescent="0.9">
      <c r="B12" s="44"/>
      <c r="C12" s="45" t="s">
        <v>146</v>
      </c>
      <c r="D12" s="230" t="s">
        <v>211</v>
      </c>
      <c r="E12" s="230"/>
      <c r="F12" s="230"/>
      <c r="G12" s="230"/>
      <c r="H12" s="51"/>
      <c r="I12" s="42"/>
      <c r="J12" s="180" t="s">
        <v>19</v>
      </c>
      <c r="K12" s="177"/>
      <c r="L12" s="55" t="e">
        <f>IF(L11&gt;99.99,5,IF(L11&gt;94.99,4.75,IF(L11&gt;89.99,4.5,IF(L11&gt;80,4,IF(L11=80,3.5,0)))))</f>
        <v>#DIV/0!</v>
      </c>
      <c r="M12" s="85"/>
      <c r="N12" s="85"/>
      <c r="O12" s="85"/>
    </row>
    <row r="13" spans="2:15" s="41" customFormat="1" ht="27" x14ac:dyDescent="0.9">
      <c r="B13" s="44"/>
      <c r="C13" s="45"/>
      <c r="D13" s="230" t="s">
        <v>212</v>
      </c>
      <c r="E13" s="230"/>
      <c r="F13" s="230"/>
      <c r="G13" s="230"/>
      <c r="H13" s="51"/>
      <c r="I13" s="42"/>
      <c r="J13" s="170"/>
      <c r="K13" s="174"/>
      <c r="L13" s="174"/>
      <c r="M13" s="85"/>
      <c r="N13" s="85"/>
      <c r="O13" s="85"/>
    </row>
    <row r="14" spans="2:15" s="41" customFormat="1" ht="23.25" customHeight="1" x14ac:dyDescent="0.9">
      <c r="B14" s="44"/>
      <c r="C14" s="45"/>
      <c r="D14" s="230" t="s">
        <v>213</v>
      </c>
      <c r="E14" s="230"/>
      <c r="F14" s="230"/>
      <c r="G14" s="230"/>
      <c r="H14" s="51"/>
      <c r="I14" s="42"/>
      <c r="J14" s="170"/>
      <c r="K14" s="174"/>
      <c r="L14" s="174"/>
      <c r="M14" s="85"/>
      <c r="N14" s="85"/>
      <c r="O14" s="85"/>
    </row>
    <row r="15" spans="2:15" ht="24" customHeight="1" x14ac:dyDescent="0.9">
      <c r="B15" s="46"/>
      <c r="C15" s="47"/>
      <c r="D15" s="230" t="s">
        <v>149</v>
      </c>
      <c r="E15" s="230"/>
      <c r="F15" s="230"/>
      <c r="G15" s="230"/>
      <c r="H15" s="51"/>
      <c r="I15" s="99"/>
    </row>
    <row r="16" spans="2:15" ht="24" customHeight="1" x14ac:dyDescent="0.9">
      <c r="D16" s="229" t="s">
        <v>150</v>
      </c>
      <c r="E16" s="229"/>
      <c r="F16" s="229"/>
      <c r="G16" s="229"/>
      <c r="H16" s="51"/>
    </row>
    <row r="17" spans="2:15" ht="24" customHeight="1" x14ac:dyDescent="0.9">
      <c r="B17" s="50"/>
      <c r="D17" s="229" t="s">
        <v>151</v>
      </c>
      <c r="E17" s="229"/>
      <c r="F17" s="229"/>
      <c r="G17" s="229"/>
      <c r="H17" s="51"/>
    </row>
    <row r="18" spans="2:15" ht="24" customHeight="1" x14ac:dyDescent="0.9">
      <c r="B18" s="50"/>
      <c r="D18" s="229" t="s">
        <v>152</v>
      </c>
      <c r="E18" s="229"/>
      <c r="F18" s="229"/>
      <c r="G18" s="229"/>
      <c r="H18" s="51"/>
    </row>
    <row r="19" spans="2:15" ht="24" customHeight="1" x14ac:dyDescent="0.9">
      <c r="B19" s="50"/>
      <c r="D19" s="229" t="s">
        <v>153</v>
      </c>
      <c r="E19" s="229"/>
      <c r="F19" s="229"/>
      <c r="G19" s="229"/>
      <c r="H19" s="51"/>
    </row>
    <row r="20" spans="2:15" ht="24" customHeight="1" x14ac:dyDescent="0.9">
      <c r="B20" s="50"/>
      <c r="D20" s="229" t="s">
        <v>154</v>
      </c>
      <c r="E20" s="229"/>
      <c r="F20" s="229"/>
      <c r="G20" s="229"/>
      <c r="H20" s="51"/>
    </row>
    <row r="21" spans="2:15" ht="24" customHeight="1" x14ac:dyDescent="0.9">
      <c r="B21" s="50"/>
      <c r="D21" s="229" t="s">
        <v>155</v>
      </c>
      <c r="E21" s="229"/>
      <c r="F21" s="229"/>
      <c r="G21" s="229"/>
      <c r="H21" s="51"/>
    </row>
    <row r="22" spans="2:15" ht="24" customHeight="1" x14ac:dyDescent="0.9">
      <c r="B22" s="50"/>
      <c r="D22" s="229" t="s">
        <v>156</v>
      </c>
      <c r="E22" s="229"/>
      <c r="F22" s="229"/>
      <c r="G22" s="229"/>
      <c r="H22" s="51"/>
    </row>
    <row r="23" spans="2:15" ht="24" customHeight="1" x14ac:dyDescent="0.9">
      <c r="B23" s="50"/>
      <c r="D23" s="229" t="s">
        <v>161</v>
      </c>
      <c r="E23" s="229"/>
      <c r="F23" s="229"/>
      <c r="G23" s="229"/>
      <c r="H23" s="51"/>
    </row>
    <row r="24" spans="2:15" ht="24" customHeight="1" x14ac:dyDescent="0.9">
      <c r="B24" s="50"/>
      <c r="D24" s="229" t="s">
        <v>157</v>
      </c>
      <c r="E24" s="229"/>
      <c r="F24" s="229"/>
      <c r="G24" s="229"/>
      <c r="H24" s="51"/>
    </row>
    <row r="25" spans="2:15" ht="24" customHeight="1" x14ac:dyDescent="0.9">
      <c r="B25" s="50"/>
      <c r="D25" s="229" t="s">
        <v>158</v>
      </c>
      <c r="E25" s="229"/>
      <c r="F25" s="229"/>
      <c r="G25" s="229"/>
      <c r="H25" s="51"/>
    </row>
    <row r="26" spans="2:15" ht="24" customHeight="1" x14ac:dyDescent="0.9">
      <c r="B26" s="50"/>
      <c r="D26" s="229" t="s">
        <v>159</v>
      </c>
      <c r="E26" s="229"/>
      <c r="F26" s="229"/>
      <c r="G26" s="229"/>
      <c r="H26" s="51"/>
    </row>
    <row r="27" spans="2:15" s="176" customFormat="1" ht="24" customHeight="1" x14ac:dyDescent="0.8">
      <c r="J27" s="48"/>
      <c r="K27" s="59"/>
      <c r="L27" s="175"/>
      <c r="M27" s="59"/>
      <c r="N27" s="59"/>
      <c r="O27" s="59"/>
    </row>
    <row r="28" spans="2:15" s="176" customFormat="1" ht="24" customHeight="1" x14ac:dyDescent="0.8">
      <c r="J28" s="48"/>
      <c r="K28" s="59"/>
      <c r="L28" s="175"/>
      <c r="M28" s="59"/>
      <c r="N28" s="59"/>
      <c r="O28" s="59"/>
    </row>
    <row r="29" spans="2:15" s="176" customFormat="1" ht="24" customHeight="1" x14ac:dyDescent="0.8">
      <c r="J29" s="48"/>
      <c r="K29" s="59"/>
      <c r="L29" s="175"/>
      <c r="M29" s="59"/>
      <c r="N29" s="59"/>
      <c r="O29" s="59"/>
    </row>
    <row r="30" spans="2:15" s="176" customFormat="1" ht="24" customHeight="1" x14ac:dyDescent="0.8">
      <c r="J30" s="48"/>
      <c r="K30" s="59"/>
      <c r="L30" s="175"/>
      <c r="M30" s="59"/>
      <c r="N30" s="59"/>
      <c r="O30" s="59"/>
    </row>
    <row r="31" spans="2:15" s="176" customFormat="1" ht="24" customHeight="1" x14ac:dyDescent="0.8">
      <c r="J31" s="48"/>
      <c r="K31" s="59"/>
      <c r="L31" s="175"/>
      <c r="M31" s="59"/>
      <c r="N31" s="59"/>
      <c r="O31" s="59"/>
    </row>
    <row r="32" spans="2:15" ht="24" customHeight="1" x14ac:dyDescent="0.8">
      <c r="B32" s="50"/>
    </row>
    <row r="33" spans="2:2" ht="24" customHeight="1" x14ac:dyDescent="0.8">
      <c r="B33" s="50"/>
    </row>
    <row r="34" spans="2:2" ht="24" customHeight="1" x14ac:dyDescent="0.8">
      <c r="B34" s="50"/>
    </row>
    <row r="35" spans="2:2" ht="24" customHeight="1" x14ac:dyDescent="0.8">
      <c r="B35" s="50"/>
    </row>
    <row r="36" spans="2:2" ht="24" customHeight="1" x14ac:dyDescent="0.8">
      <c r="B36" s="50"/>
    </row>
    <row r="37" spans="2:2" ht="24" customHeight="1" x14ac:dyDescent="0.8">
      <c r="B37" s="50"/>
    </row>
    <row r="40" spans="2:2" ht="24" customHeight="1" x14ac:dyDescent="0.8">
      <c r="B40" s="50"/>
    </row>
    <row r="41" spans="2:2" ht="24" customHeight="1" x14ac:dyDescent="0.8">
      <c r="B41" s="50"/>
    </row>
    <row r="42" spans="2:2" ht="24" customHeight="1" x14ac:dyDescent="0.8">
      <c r="B42" s="50"/>
    </row>
    <row r="43" spans="2:2" ht="24" customHeight="1" x14ac:dyDescent="0.8">
      <c r="B43" s="50"/>
    </row>
    <row r="45" spans="2:2" ht="24" customHeight="1" x14ac:dyDescent="0.8">
      <c r="B45" s="50"/>
    </row>
    <row r="46" spans="2:2" ht="24" customHeight="1" x14ac:dyDescent="0.8">
      <c r="B46" s="50"/>
    </row>
  </sheetData>
  <sheetProtection algorithmName="SHA-512" hashValue="3KzLP1gES/y4QOCWJ3JOuPHv9Dz9xhyYNf25VHyXKDQ+8dkJwANOv/2viib6A5+LGPgiC6u7SIqGfnLiRyVsgQ==" saltValue="wNNWE+oaDWqCZ0AdOYOV/g==" spinCount="100000" sheet="1" objects="1" scenarios="1" selectLockedCells="1"/>
  <mergeCells count="23">
    <mergeCell ref="B7:I7"/>
    <mergeCell ref="B1:I1"/>
    <mergeCell ref="B2:C2"/>
    <mergeCell ref="B4:C4"/>
    <mergeCell ref="B5:I5"/>
    <mergeCell ref="B6:C6"/>
    <mergeCell ref="B8:C8"/>
    <mergeCell ref="B9:I9"/>
    <mergeCell ref="D12:G12"/>
    <mergeCell ref="D13:G13"/>
    <mergeCell ref="D14:G14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</mergeCells>
  <conditionalFormatting sqref="D2:I2">
    <cfRule type="colorScale" priority="26">
      <colorScale>
        <cfvo type="min"/>
        <cfvo type="percentile" val="50"/>
        <cfvo type="max"/>
        <color rgb="FFF8696B"/>
        <color rgb="FFFCFCFF"/>
        <color rgb="FF33CC33"/>
      </colorScale>
    </cfRule>
  </conditionalFormatting>
  <conditionalFormatting sqref="D4:I4">
    <cfRule type="colorScale" priority="25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6:I6">
    <cfRule type="colorScale" priority="24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8:I8">
    <cfRule type="colorScale" priority="23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4 D6:I6 D8:I8">
    <cfRule type="cellIs" dxfId="30" priority="22" operator="equal">
      <formula>"มี"</formula>
    </cfRule>
  </conditionalFormatting>
  <conditionalFormatting sqref="E4 E6 E8">
    <cfRule type="cellIs" dxfId="29" priority="21" operator="equal">
      <formula>"มี"</formula>
    </cfRule>
  </conditionalFormatting>
  <conditionalFormatting sqref="F4 F6 F8">
    <cfRule type="cellIs" dxfId="28" priority="20" operator="equal">
      <formula>"มี"</formula>
    </cfRule>
  </conditionalFormatting>
  <conditionalFormatting sqref="G4 G6 G8">
    <cfRule type="cellIs" dxfId="27" priority="19" operator="equal">
      <formula>"มี"</formula>
    </cfRule>
  </conditionalFormatting>
  <conditionalFormatting sqref="H4 H6 H8">
    <cfRule type="cellIs" dxfId="26" priority="18" operator="equal">
      <formula>"มี"</formula>
    </cfRule>
  </conditionalFormatting>
  <conditionalFormatting sqref="I4 I6 I8">
    <cfRule type="cellIs" dxfId="25" priority="17" operator="equal">
      <formula>"มี"</formula>
    </cfRule>
  </conditionalFormatting>
  <conditionalFormatting sqref="H12:H26">
    <cfRule type="cellIs" dxfId="24" priority="2" operator="equal">
      <formula>"มี"</formula>
    </cfRule>
  </conditionalFormatting>
  <pageMargins left="0.7" right="0.7" top="0.75" bottom="0.75" header="0.3" footer="0.3"/>
  <pageSetup orientation="portrait" horizontalDpi="4294967292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DataSet!$H$19:$H$20</xm:f>
          </x14:formula1>
          <xm:sqref>D6:I6 D8:I8 D4:I4 H12:H26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00FF"/>
  </sheetPr>
  <dimension ref="B1:O40"/>
  <sheetViews>
    <sheetView showRowColHeaders="0" zoomScaleNormal="100" workbookViewId="0">
      <selection activeCell="D4" sqref="D4:G4"/>
    </sheetView>
  </sheetViews>
  <sheetFormatPr defaultColWidth="8.25" defaultRowHeight="24" x14ac:dyDescent="0.8"/>
  <cols>
    <col min="1" max="1" width="8.25" style="6"/>
    <col min="2" max="2" width="5.25" style="7" customWidth="1"/>
    <col min="3" max="3" width="19.4140625" style="6" customWidth="1"/>
    <col min="4" max="9" width="12.33203125" style="6" customWidth="1"/>
    <col min="10" max="10" width="5" style="29" bestFit="1" customWidth="1"/>
    <col min="11" max="13" width="8.25" style="103"/>
    <col min="14" max="14" width="8.25" style="72"/>
    <col min="15" max="15" width="8.25" style="7"/>
    <col min="16" max="16384" width="8.25" style="6"/>
  </cols>
  <sheetData>
    <row r="1" spans="2:15" s="5" customFormat="1" ht="30" x14ac:dyDescent="1">
      <c r="B1" s="232" t="s">
        <v>87</v>
      </c>
      <c r="C1" s="232"/>
      <c r="D1" s="232"/>
      <c r="E1" s="232"/>
      <c r="F1" s="232"/>
      <c r="G1" s="232"/>
      <c r="H1" s="232"/>
      <c r="I1" s="232"/>
      <c r="J1" s="26"/>
      <c r="K1" s="101"/>
      <c r="L1" s="101"/>
      <c r="M1" s="101"/>
      <c r="N1" s="71"/>
      <c r="O1" s="8"/>
    </row>
    <row r="2" spans="2:15" s="5" customFormat="1" ht="30" x14ac:dyDescent="1">
      <c r="B2" s="220" t="s">
        <v>51</v>
      </c>
      <c r="C2" s="220"/>
      <c r="D2" s="8">
        <v>0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26"/>
      <c r="K2" s="101"/>
      <c r="L2" s="101"/>
      <c r="M2" s="101"/>
      <c r="N2" s="71"/>
      <c r="O2" s="8"/>
    </row>
    <row r="3" spans="2:15" s="4" customFormat="1" ht="27" x14ac:dyDescent="0.9">
      <c r="B3" s="25" t="s">
        <v>88</v>
      </c>
      <c r="C3" s="25"/>
      <c r="D3" s="25"/>
      <c r="E3" s="25"/>
      <c r="F3" s="25"/>
      <c r="G3" s="25"/>
      <c r="H3" s="25"/>
      <c r="I3" s="25"/>
      <c r="J3" s="27"/>
      <c r="K3" s="102"/>
      <c r="L3" s="102"/>
      <c r="M3" s="102"/>
      <c r="N3" s="69"/>
      <c r="O3" s="9"/>
    </row>
    <row r="4" spans="2:15" s="2" customFormat="1" ht="27" x14ac:dyDescent="0.9">
      <c r="B4" s="218" t="s">
        <v>49</v>
      </c>
      <c r="C4" s="218"/>
      <c r="D4" s="65"/>
      <c r="E4" s="30"/>
      <c r="F4" s="31"/>
      <c r="G4" s="31"/>
      <c r="H4" s="31"/>
      <c r="I4" s="31"/>
      <c r="J4" s="74">
        <f>COUNTIF(E4:I4,DataSet!H19)</f>
        <v>0</v>
      </c>
      <c r="K4" s="87"/>
      <c r="L4" s="87"/>
      <c r="M4" s="87"/>
      <c r="N4" s="70"/>
      <c r="O4" s="10"/>
    </row>
    <row r="5" spans="2:15" s="2" customFormat="1" ht="27" x14ac:dyDescent="0.9">
      <c r="B5" s="44"/>
      <c r="C5" s="45"/>
      <c r="D5" s="45"/>
      <c r="E5" s="45"/>
      <c r="F5" s="45"/>
      <c r="G5" s="45"/>
      <c r="H5" s="45"/>
      <c r="I5" s="45"/>
      <c r="J5" s="28"/>
      <c r="K5" s="87"/>
      <c r="L5" s="87"/>
      <c r="M5" s="87"/>
      <c r="N5" s="70"/>
      <c r="O5" s="10"/>
    </row>
    <row r="6" spans="2:15" s="2" customFormat="1" ht="27" x14ac:dyDescent="0.9">
      <c r="B6" s="44"/>
      <c r="C6" s="45"/>
      <c r="D6" s="45"/>
      <c r="E6" s="45"/>
      <c r="F6" s="45"/>
      <c r="G6" s="45"/>
      <c r="H6" s="45"/>
      <c r="I6" s="45"/>
      <c r="J6" s="28"/>
      <c r="K6" s="87"/>
      <c r="L6" s="87"/>
      <c r="M6" s="87"/>
      <c r="N6" s="70"/>
      <c r="O6" s="10"/>
    </row>
    <row r="7" spans="2:15" s="2" customFormat="1" ht="27" x14ac:dyDescent="0.9">
      <c r="B7" s="44"/>
      <c r="C7" s="45"/>
      <c r="D7" s="45"/>
      <c r="E7" s="45"/>
      <c r="F7" s="45"/>
      <c r="G7" s="45"/>
      <c r="H7" s="45"/>
      <c r="I7" s="45"/>
      <c r="J7" s="28"/>
      <c r="K7" s="87"/>
      <c r="L7" s="87"/>
      <c r="M7" s="87"/>
      <c r="N7" s="70"/>
      <c r="O7" s="10"/>
    </row>
    <row r="8" spans="2:15" s="2" customFormat="1" ht="23.25" customHeight="1" x14ac:dyDescent="0.9">
      <c r="B8" s="44"/>
      <c r="C8" s="45"/>
      <c r="D8" s="45"/>
      <c r="E8" s="45"/>
      <c r="F8" s="45"/>
      <c r="G8" s="45"/>
      <c r="H8" s="45"/>
      <c r="I8" s="45"/>
      <c r="J8" s="28"/>
      <c r="K8" s="87"/>
      <c r="L8" s="87"/>
      <c r="M8" s="87"/>
      <c r="N8" s="70"/>
      <c r="O8" s="10"/>
    </row>
    <row r="9" spans="2:15" ht="24" customHeight="1" x14ac:dyDescent="0.8">
      <c r="B9" s="46"/>
      <c r="C9" s="47"/>
      <c r="D9" s="47"/>
      <c r="E9" s="47"/>
      <c r="F9" s="47"/>
      <c r="G9" s="47"/>
      <c r="H9" s="47"/>
      <c r="I9" s="47"/>
    </row>
    <row r="10" spans="2:15" ht="24" customHeight="1" x14ac:dyDescent="0.8">
      <c r="B10" s="49"/>
      <c r="C10" s="50"/>
      <c r="D10" s="50"/>
      <c r="E10" s="50"/>
      <c r="F10" s="50"/>
      <c r="G10" s="50"/>
      <c r="H10" s="50"/>
      <c r="I10" s="50"/>
    </row>
    <row r="11" spans="2:15" ht="24" customHeight="1" x14ac:dyDescent="0.8">
      <c r="B11" s="6"/>
    </row>
    <row r="12" spans="2:15" ht="24" customHeight="1" x14ac:dyDescent="0.8">
      <c r="B12" s="6"/>
    </row>
    <row r="13" spans="2:15" ht="24" customHeight="1" x14ac:dyDescent="0.8">
      <c r="B13" s="6"/>
    </row>
    <row r="14" spans="2:15" ht="24" customHeight="1" x14ac:dyDescent="0.8">
      <c r="B14" s="6"/>
    </row>
    <row r="15" spans="2:15" ht="24" customHeight="1" x14ac:dyDescent="0.8">
      <c r="B15" s="6"/>
    </row>
    <row r="16" spans="2:15" ht="24" customHeight="1" x14ac:dyDescent="0.8">
      <c r="B16" s="6"/>
    </row>
    <row r="17" spans="2:2" ht="24" customHeight="1" x14ac:dyDescent="0.8">
      <c r="B17" s="6"/>
    </row>
    <row r="18" spans="2:2" ht="24" customHeight="1" x14ac:dyDescent="0.8">
      <c r="B18" s="6"/>
    </row>
    <row r="19" spans="2:2" ht="24" customHeight="1" x14ac:dyDescent="0.8">
      <c r="B19" s="6"/>
    </row>
    <row r="20" spans="2:2" ht="24" customHeight="1" x14ac:dyDescent="0.8">
      <c r="B20" s="6"/>
    </row>
    <row r="21" spans="2:2" ht="24" customHeight="1" x14ac:dyDescent="0.8">
      <c r="B21" s="6"/>
    </row>
    <row r="22" spans="2:2" ht="24" customHeight="1" x14ac:dyDescent="0.8">
      <c r="B22" s="6"/>
    </row>
    <row r="23" spans="2:2" ht="24" customHeight="1" x14ac:dyDescent="0.8">
      <c r="B23" s="6"/>
    </row>
    <row r="24" spans="2:2" ht="24" customHeight="1" x14ac:dyDescent="0.8">
      <c r="B24" s="6"/>
    </row>
    <row r="25" spans="2:2" ht="24" customHeight="1" x14ac:dyDescent="0.8">
      <c r="B25" s="6"/>
    </row>
    <row r="26" spans="2:2" ht="24" customHeight="1" x14ac:dyDescent="0.8">
      <c r="B26" s="6"/>
    </row>
    <row r="27" spans="2:2" ht="24" customHeight="1" x14ac:dyDescent="0.8">
      <c r="B27" s="6"/>
    </row>
    <row r="28" spans="2:2" ht="24" customHeight="1" x14ac:dyDescent="0.8">
      <c r="B28" s="6"/>
    </row>
    <row r="29" spans="2:2" ht="24" customHeight="1" x14ac:dyDescent="0.8">
      <c r="B29" s="6"/>
    </row>
    <row r="30" spans="2:2" ht="24" customHeight="1" x14ac:dyDescent="0.8">
      <c r="B30" s="6"/>
    </row>
    <row r="31" spans="2:2" ht="24" customHeight="1" x14ac:dyDescent="0.8">
      <c r="B31" s="6"/>
    </row>
    <row r="34" spans="2:2" ht="24" customHeight="1" x14ac:dyDescent="0.8">
      <c r="B34" s="6"/>
    </row>
    <row r="35" spans="2:2" ht="24" customHeight="1" x14ac:dyDescent="0.8">
      <c r="B35" s="6"/>
    </row>
    <row r="36" spans="2:2" ht="24" customHeight="1" x14ac:dyDescent="0.8">
      <c r="B36" s="6"/>
    </row>
    <row r="37" spans="2:2" ht="24" customHeight="1" x14ac:dyDescent="0.8">
      <c r="B37" s="6"/>
    </row>
    <row r="39" spans="2:2" ht="24" customHeight="1" x14ac:dyDescent="0.8">
      <c r="B39" s="6"/>
    </row>
    <row r="40" spans="2:2" ht="24" customHeight="1" x14ac:dyDescent="0.8">
      <c r="B40" s="6"/>
    </row>
  </sheetData>
  <sheetProtection algorithmName="SHA-512" hashValue="FUtOKUuAfQh1HPFelcH9Zi4qeZ5aySgSZUeJhjFu0I4SRpBNNOCxBX0+Qa1lNEn/0wYJOdVdxJnftBS6SN1Inw==" saltValue="WRs5lQ+TaCBNreOKh0HHag==" spinCount="100000" sheet="1" objects="1" scenarios="1" selectLockedCells="1"/>
  <mergeCells count="3">
    <mergeCell ref="B1:I1"/>
    <mergeCell ref="B2:C2"/>
    <mergeCell ref="B4:C4"/>
  </mergeCells>
  <conditionalFormatting sqref="D2:I2">
    <cfRule type="colorScale" priority="17">
      <colorScale>
        <cfvo type="min"/>
        <cfvo type="percentile" val="50"/>
        <cfvo type="max"/>
        <color rgb="FFF8696B"/>
        <color rgb="FFFCFCFF"/>
        <color rgb="FF33CC33"/>
      </colorScale>
    </cfRule>
  </conditionalFormatting>
  <conditionalFormatting sqref="D4:I4">
    <cfRule type="colorScale" priority="16">
      <colorScale>
        <cfvo type="num" val="0"/>
        <cfvo type="num" val="3"/>
        <cfvo type="num" val="5"/>
        <color rgb="FFF8696B"/>
        <color rgb="FFFCFCFF"/>
        <color rgb="FF63BE7B"/>
      </colorScale>
    </cfRule>
  </conditionalFormatting>
  <conditionalFormatting sqref="D4">
    <cfRule type="cellIs" dxfId="23" priority="13" operator="equal">
      <formula>"มี"</formula>
    </cfRule>
  </conditionalFormatting>
  <conditionalFormatting sqref="D4:I4">
    <cfRule type="cellIs" dxfId="22" priority="12" operator="equal">
      <formula>"มี"</formula>
    </cfRule>
  </conditionalFormatting>
  <conditionalFormatting sqref="F4">
    <cfRule type="cellIs" dxfId="21" priority="11" operator="equal">
      <formula>"มี"</formula>
    </cfRule>
  </conditionalFormatting>
  <conditionalFormatting sqref="G4">
    <cfRule type="cellIs" dxfId="20" priority="10" operator="equal">
      <formula>"มี"</formula>
    </cfRule>
  </conditionalFormatting>
  <conditionalFormatting sqref="H4">
    <cfRule type="cellIs" dxfId="19" priority="9" operator="equal">
      <formula>"มี"</formula>
    </cfRule>
  </conditionalFormatting>
  <conditionalFormatting sqref="I4">
    <cfRule type="cellIs" dxfId="18" priority="8" operator="equal">
      <formula>"มี"</formula>
    </cfRule>
  </conditionalFormatting>
  <conditionalFormatting sqref="E4">
    <cfRule type="cellIs" dxfId="17" priority="5" operator="equal">
      <formula>"มี"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DataSet!$H$19:$H$20</xm:f>
          </x14:formula1>
          <xm:sqref>D4:I4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Menu</vt:lpstr>
      <vt:lpstr>DataSet</vt:lpstr>
      <vt:lpstr>DataAdd</vt:lpstr>
      <vt:lpstr>องค์ 1</vt:lpstr>
      <vt:lpstr>องค์ 2</vt:lpstr>
      <vt:lpstr>องค์ 3</vt:lpstr>
      <vt:lpstr>องค์ 4</vt:lpstr>
      <vt:lpstr>องค์ 5</vt:lpstr>
      <vt:lpstr>องค์ 6</vt:lpstr>
      <vt:lpstr>วิเคราะห์คุณภาพ</vt:lpstr>
      <vt:lpstr>ผลประเมินตามตัวบ่งชี้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บรรพต พิจิตรกำเนิด</dc:creator>
  <cp:keywords>บรรพต พิจิตรกำเนิด, บรรณารักษ์, มหาวิทยาลัยสวนดุสิต, Template, ระบบคำนวนคะแนน, ประกันคุณภาพ, ระดับหลักสูตร</cp:keywords>
  <cp:lastModifiedBy>Bunpod Pijitkamnerd</cp:lastModifiedBy>
  <cp:lastPrinted>2018-02-05T12:09:10Z</cp:lastPrinted>
  <dcterms:created xsi:type="dcterms:W3CDTF">2017-06-07T15:10:11Z</dcterms:created>
  <dcterms:modified xsi:type="dcterms:W3CDTF">2020-04-25T16:14:58Z</dcterms:modified>
</cp:coreProperties>
</file>